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T:\AMMINISTRAZIONE TRASPARENTE\DISPOSIZIONI GENERALI\piano 2026_2028\modifica\"/>
    </mc:Choice>
  </mc:AlternateContent>
  <xr:revisionPtr revIDLastSave="0" documentId="8_{1955B0AF-AABC-4323-B263-AB1FFE4FBC54}" xr6:coauthVersionLast="47" xr6:coauthVersionMax="47" xr10:uidLastSave="{00000000-0000-0000-0000-000000000000}"/>
  <bookViews>
    <workbookView xWindow="1080" yWindow="1080" windowWidth="21600" windowHeight="11295" firstSheet="3" activeTab="3" xr2:uid="{00000000-000D-0000-FFFF-FFFF00000000}"/>
  </bookViews>
  <sheets>
    <sheet name="2021 stima" sheetId="2" state="hidden" r:id="rId1"/>
    <sheet name="Mogorella 2021" sheetId="6" state="hidden" r:id="rId2"/>
    <sheet name="Mogorella 2020" sheetId="7" state="hidden" r:id="rId3"/>
    <sheet name="Versione 13.2.2026" sheetId="16" r:id="rId4"/>
    <sheet name="All. C" sheetId="8" state="hidden" r:id="rId5"/>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4" i="16" l="1"/>
  <c r="K51" i="16"/>
  <c r="H51" i="16"/>
  <c r="I51" i="16" s="1"/>
  <c r="K32" i="16"/>
  <c r="H32" i="16"/>
  <c r="I32" i="16" s="1"/>
  <c r="K10" i="16"/>
  <c r="H10" i="16"/>
  <c r="I10" i="16" s="1"/>
  <c r="P12" i="16"/>
  <c r="P11" i="16"/>
  <c r="M17" i="16"/>
  <c r="Q17" i="16" s="1"/>
  <c r="M59" i="16"/>
  <c r="Q59" i="16" s="1"/>
  <c r="M58" i="16"/>
  <c r="Q58" i="16" s="1"/>
  <c r="M40" i="16"/>
  <c r="Q40" i="16" s="1"/>
  <c r="M39" i="16"/>
  <c r="Q39" i="16" s="1"/>
  <c r="J73" i="16"/>
  <c r="H12" i="16"/>
  <c r="I12" i="16" s="1"/>
  <c r="H11" i="16"/>
  <c r="I11" i="16" s="1"/>
  <c r="M20" i="16"/>
  <c r="Q20" i="16" s="1"/>
  <c r="L9" i="16"/>
  <c r="K9" i="16"/>
  <c r="H9" i="16"/>
  <c r="I9" i="16" s="1"/>
  <c r="M19" i="16"/>
  <c r="Q19" i="16" s="1"/>
  <c r="L12" i="16"/>
  <c r="L11" i="16"/>
  <c r="K12" i="16"/>
  <c r="K11" i="16"/>
  <c r="J51" i="16" l="1"/>
  <c r="N51" i="16"/>
  <c r="M51" i="16"/>
  <c r="J32" i="16"/>
  <c r="N32" i="16"/>
  <c r="M32" i="16"/>
  <c r="J10" i="16"/>
  <c r="N10" i="16"/>
  <c r="Q10" i="16" s="1"/>
  <c r="M10" i="16"/>
  <c r="M9" i="16"/>
  <c r="N9" i="16"/>
  <c r="J9" i="16"/>
  <c r="J12" i="16"/>
  <c r="I27" i="16"/>
  <c r="L31" i="16"/>
  <c r="K31" i="16"/>
  <c r="H31" i="16"/>
  <c r="I31" i="16" s="1"/>
  <c r="L4" i="16"/>
  <c r="K4" i="16"/>
  <c r="Q51" i="16" l="1"/>
  <c r="Q32" i="16"/>
  <c r="J4" i="16"/>
  <c r="Q9" i="16"/>
  <c r="J11" i="16"/>
  <c r="J31" i="16"/>
  <c r="M31" i="16"/>
  <c r="N31" i="16"/>
  <c r="M4" i="16"/>
  <c r="N12" i="16"/>
  <c r="M12" i="16"/>
  <c r="N11" i="16"/>
  <c r="M11" i="16"/>
  <c r="M56" i="16"/>
  <c r="Q56" i="16" s="1"/>
  <c r="M55" i="16"/>
  <c r="Q55" i="16" s="1"/>
  <c r="O54" i="16"/>
  <c r="M54" i="16"/>
  <c r="L52" i="16"/>
  <c r="K52" i="16"/>
  <c r="H52" i="16"/>
  <c r="I52" i="16" s="1"/>
  <c r="L50" i="16"/>
  <c r="K50" i="16"/>
  <c r="I50" i="16"/>
  <c r="L49" i="16"/>
  <c r="K49" i="16"/>
  <c r="I49" i="16"/>
  <c r="P48" i="16"/>
  <c r="L48" i="16"/>
  <c r="K48" i="16"/>
  <c r="H48" i="16"/>
  <c r="I48" i="16" s="1"/>
  <c r="L47" i="16"/>
  <c r="K47" i="16"/>
  <c r="I47" i="16"/>
  <c r="L30" i="16"/>
  <c r="L29" i="16"/>
  <c r="L28" i="16"/>
  <c r="L27" i="16"/>
  <c r="J27" i="16" s="1"/>
  <c r="M37" i="16"/>
  <c r="Q37" i="16" s="1"/>
  <c r="O35" i="16"/>
  <c r="M35" i="16"/>
  <c r="I30" i="16"/>
  <c r="I29" i="16"/>
  <c r="H28" i="16"/>
  <c r="I28" i="16" s="1"/>
  <c r="K30" i="16"/>
  <c r="K29" i="16"/>
  <c r="P28" i="16"/>
  <c r="K28" i="16"/>
  <c r="K27" i="16"/>
  <c r="Q11" i="16" l="1"/>
  <c r="Q12" i="16"/>
  <c r="Q31" i="16"/>
  <c r="N48" i="16"/>
  <c r="N50" i="16"/>
  <c r="M27" i="16"/>
  <c r="N29" i="16"/>
  <c r="Q54" i="16"/>
  <c r="Q35" i="16"/>
  <c r="N27" i="16"/>
  <c r="J29" i="16"/>
  <c r="M50" i="16"/>
  <c r="N30" i="16"/>
  <c r="M29" i="16"/>
  <c r="N47" i="16"/>
  <c r="N49" i="16"/>
  <c r="N52" i="16"/>
  <c r="J52" i="16"/>
  <c r="M52" i="16"/>
  <c r="M48" i="16"/>
  <c r="M49" i="16"/>
  <c r="J50" i="16"/>
  <c r="M47" i="16"/>
  <c r="J47" i="16"/>
  <c r="J48" i="16"/>
  <c r="J49" i="16"/>
  <c r="J30" i="16"/>
  <c r="M30" i="16"/>
  <c r="M36" i="16"/>
  <c r="Q36" i="16" s="1"/>
  <c r="M28" i="16"/>
  <c r="N28" i="16"/>
  <c r="J28" i="16"/>
  <c r="R12" i="16" l="1"/>
  <c r="Q29" i="16"/>
  <c r="Q50" i="16"/>
  <c r="Q48" i="16"/>
  <c r="Q49" i="16"/>
  <c r="Q27" i="16"/>
  <c r="Q30" i="16"/>
  <c r="Q47" i="16"/>
  <c r="Q52" i="16"/>
  <c r="Q28" i="16"/>
  <c r="Q42" i="16" l="1"/>
  <c r="Q61" i="16"/>
  <c r="M14" i="16"/>
  <c r="O14" i="16"/>
  <c r="M16" i="16"/>
  <c r="Q16" i="16" s="1"/>
  <c r="M15" i="16"/>
  <c r="K7" i="16"/>
  <c r="I7" i="16"/>
  <c r="K6" i="16"/>
  <c r="I6" i="16"/>
  <c r="P5" i="16"/>
  <c r="K5" i="16"/>
  <c r="H5" i="16"/>
  <c r="I5" i="16" s="1"/>
  <c r="Q14" i="16" l="1"/>
  <c r="J6" i="16"/>
  <c r="N6" i="16"/>
  <c r="N4" i="16"/>
  <c r="N5" i="16"/>
  <c r="J5" i="16"/>
  <c r="N7" i="16"/>
  <c r="M7" i="16"/>
  <c r="M5" i="16"/>
  <c r="M6" i="16"/>
  <c r="Q15" i="16"/>
  <c r="J7" i="16"/>
  <c r="Q6" i="16" l="1"/>
  <c r="Q4" i="16"/>
  <c r="Q7" i="16"/>
  <c r="Q5" i="16"/>
  <c r="Q22" i="16" l="1"/>
  <c r="G9" i="8" l="1"/>
  <c r="K5" i="6" l="1"/>
  <c r="H5" i="6"/>
  <c r="G5" i="6"/>
  <c r="G12" i="7"/>
  <c r="P12" i="7" s="1"/>
  <c r="P11" i="7"/>
  <c r="O11" i="7"/>
  <c r="N11" i="7"/>
  <c r="M11" i="7"/>
  <c r="P10" i="7"/>
  <c r="R10" i="7" s="1"/>
  <c r="N10" i="7"/>
  <c r="R9" i="7"/>
  <c r="P8" i="7"/>
  <c r="O8" i="7"/>
  <c r="N8" i="7"/>
  <c r="L8" i="7"/>
  <c r="M8" i="7" s="1"/>
  <c r="P7" i="7"/>
  <c r="O7" i="7"/>
  <c r="N7" i="7"/>
  <c r="L7" i="7"/>
  <c r="M7" i="7" s="1"/>
  <c r="K6" i="7"/>
  <c r="H6" i="7"/>
  <c r="G6" i="7"/>
  <c r="K5" i="7"/>
  <c r="H5" i="7"/>
  <c r="G5" i="7"/>
  <c r="K4" i="7"/>
  <c r="H4" i="7"/>
  <c r="G4" i="7"/>
  <c r="K3" i="7"/>
  <c r="H3" i="7"/>
  <c r="G3" i="7"/>
  <c r="K2" i="7"/>
  <c r="H2" i="7"/>
  <c r="G2" i="7"/>
  <c r="R11" i="6"/>
  <c r="R10" i="6"/>
  <c r="K9" i="6"/>
  <c r="H9" i="6"/>
  <c r="G9" i="6"/>
  <c r="K8" i="6"/>
  <c r="H8" i="6"/>
  <c r="G8" i="6"/>
  <c r="K7" i="6"/>
  <c r="H7" i="6"/>
  <c r="G7" i="6"/>
  <c r="R15" i="6"/>
  <c r="R14" i="6"/>
  <c r="P13" i="6"/>
  <c r="O13" i="6"/>
  <c r="N13" i="6"/>
  <c r="L13" i="6"/>
  <c r="M13" i="6" s="1"/>
  <c r="P12" i="6"/>
  <c r="O12" i="6"/>
  <c r="N12" i="6"/>
  <c r="L12" i="6"/>
  <c r="M12" i="6" s="1"/>
  <c r="K6" i="6"/>
  <c r="H6" i="6"/>
  <c r="G6" i="6"/>
  <c r="K4" i="6"/>
  <c r="H4" i="6"/>
  <c r="G4" i="6"/>
  <c r="K3" i="6"/>
  <c r="H3" i="6"/>
  <c r="G3" i="6"/>
  <c r="P4" i="7" l="1"/>
  <c r="R7" i="7"/>
  <c r="P5" i="6"/>
  <c r="O5" i="6"/>
  <c r="P8" i="6"/>
  <c r="L9" i="6"/>
  <c r="M9" i="6" s="1"/>
  <c r="N7" i="6"/>
  <c r="N4" i="7"/>
  <c r="O4" i="7"/>
  <c r="L4" i="7"/>
  <c r="M4" i="7" s="1"/>
  <c r="R11" i="7"/>
  <c r="N3" i="7"/>
  <c r="N2" i="7"/>
  <c r="N6" i="7"/>
  <c r="O3" i="7"/>
  <c r="O2" i="7"/>
  <c r="L12" i="7"/>
  <c r="M12" i="7" s="1"/>
  <c r="P3" i="7"/>
  <c r="P2" i="7"/>
  <c r="P6" i="7"/>
  <c r="R6" i="7" s="1"/>
  <c r="O5" i="7"/>
  <c r="L5" i="7"/>
  <c r="M5" i="7" s="1"/>
  <c r="L5" i="6"/>
  <c r="M5" i="6" s="1"/>
  <c r="R5" i="6" s="1"/>
  <c r="N5" i="6"/>
  <c r="R8" i="7"/>
  <c r="L6" i="7"/>
  <c r="M6" i="7" s="1"/>
  <c r="N12" i="7"/>
  <c r="O12" i="7"/>
  <c r="L2" i="7"/>
  <c r="M2" i="7" s="1"/>
  <c r="N5" i="7"/>
  <c r="L3" i="7"/>
  <c r="M3" i="7" s="1"/>
  <c r="P5" i="7"/>
  <c r="O6" i="7"/>
  <c r="P9" i="6"/>
  <c r="O8" i="6"/>
  <c r="P7" i="6"/>
  <c r="N8" i="6"/>
  <c r="N9" i="6"/>
  <c r="O9" i="6"/>
  <c r="L8" i="6"/>
  <c r="M8" i="6" s="1"/>
  <c r="L7" i="6"/>
  <c r="M7" i="6" s="1"/>
  <c r="O7" i="6"/>
  <c r="P4" i="6"/>
  <c r="P3" i="6"/>
  <c r="R3" i="6" s="1"/>
  <c r="L3" i="6"/>
  <c r="M3" i="6" s="1"/>
  <c r="R16" i="6"/>
  <c r="O4" i="6"/>
  <c r="N3" i="6"/>
  <c r="O3" i="6"/>
  <c r="R12" i="6"/>
  <c r="L4" i="6"/>
  <c r="M4" i="6" s="1"/>
  <c r="P6" i="6"/>
  <c r="L6" i="6"/>
  <c r="M6" i="6" s="1"/>
  <c r="N4" i="6"/>
  <c r="R13" i="6"/>
  <c r="N6" i="6"/>
  <c r="O6" i="6"/>
  <c r="R5" i="7" l="1"/>
  <c r="R8" i="6"/>
  <c r="R2" i="7"/>
  <c r="R4" i="7"/>
  <c r="R9" i="6"/>
  <c r="R12" i="7"/>
  <c r="R3" i="7"/>
  <c r="R13" i="7" s="1"/>
  <c r="R7" i="6"/>
  <c r="R4" i="6"/>
  <c r="R6" i="6"/>
  <c r="R17" i="6" l="1"/>
  <c r="K26" i="2"/>
  <c r="G25" i="2" l="1"/>
  <c r="H25" i="2"/>
  <c r="I25" i="2"/>
  <c r="J25" i="2"/>
  <c r="M28" i="2" l="1"/>
  <c r="M27" i="2"/>
  <c r="F26" i="2"/>
  <c r="F3" i="2" l="1"/>
  <c r="F4" i="2"/>
  <c r="F5" i="2"/>
  <c r="F6" i="2"/>
  <c r="F7" i="2"/>
  <c r="F8" i="2"/>
  <c r="F9" i="2"/>
  <c r="F10" i="2"/>
  <c r="F11" i="2"/>
  <c r="F12" i="2"/>
  <c r="F13" i="2"/>
  <c r="F14" i="2"/>
  <c r="F15" i="2"/>
  <c r="F16" i="2"/>
  <c r="F17" i="2"/>
  <c r="F18" i="2"/>
  <c r="F19" i="2"/>
  <c r="F20" i="2"/>
  <c r="F21" i="2"/>
  <c r="F22" i="2"/>
  <c r="F23" i="2"/>
  <c r="F2" i="2"/>
  <c r="D2" i="2"/>
  <c r="D9" i="2"/>
  <c r="D8" i="2"/>
  <c r="D7" i="2"/>
  <c r="D6" i="2"/>
  <c r="D5" i="2"/>
  <c r="D4" i="2"/>
  <c r="D3" i="2"/>
  <c r="D10" i="2"/>
  <c r="D15" i="2"/>
  <c r="D14" i="2"/>
  <c r="D13" i="2"/>
  <c r="D12" i="2"/>
  <c r="D11" i="2"/>
  <c r="D16" i="2"/>
  <c r="D22" i="2"/>
  <c r="D21" i="2"/>
  <c r="D20" i="2"/>
  <c r="D19" i="2"/>
  <c r="D18" i="2"/>
  <c r="D17" i="2"/>
  <c r="D23" i="2"/>
  <c r="G26" i="2"/>
  <c r="B2" i="2" l="1"/>
  <c r="C2" i="2" s="1"/>
  <c r="M25" i="2"/>
  <c r="M24" i="2"/>
  <c r="H26" i="2"/>
  <c r="I26" i="2"/>
  <c r="C4" i="2"/>
  <c r="H4" i="2" s="1"/>
  <c r="C5" i="2"/>
  <c r="H5" i="2" s="1"/>
  <c r="C6" i="2"/>
  <c r="H6" i="2" s="1"/>
  <c r="C7" i="2"/>
  <c r="H7" i="2" s="1"/>
  <c r="C8" i="2"/>
  <c r="H8" i="2" s="1"/>
  <c r="C9" i="2"/>
  <c r="H9" i="2" s="1"/>
  <c r="C10" i="2"/>
  <c r="J10" i="2" s="1"/>
  <c r="C11" i="2"/>
  <c r="H11" i="2" s="1"/>
  <c r="C12" i="2"/>
  <c r="H12" i="2" s="1"/>
  <c r="C13" i="2"/>
  <c r="C14" i="2"/>
  <c r="C15" i="2"/>
  <c r="H15" i="2" s="1"/>
  <c r="C16" i="2"/>
  <c r="J16" i="2" s="1"/>
  <c r="C17" i="2"/>
  <c r="H17" i="2" s="1"/>
  <c r="C18" i="2"/>
  <c r="C19" i="2"/>
  <c r="H19" i="2" s="1"/>
  <c r="C20" i="2"/>
  <c r="H20" i="2" s="1"/>
  <c r="C21" i="2"/>
  <c r="H21" i="2" s="1"/>
  <c r="C22" i="2"/>
  <c r="C23" i="2"/>
  <c r="I23" i="2" s="1"/>
  <c r="C3" i="2"/>
  <c r="J3" i="2" s="1"/>
  <c r="J23" i="2" l="1"/>
  <c r="J7" i="2"/>
  <c r="J19" i="2"/>
  <c r="I21" i="2"/>
  <c r="J12" i="2"/>
  <c r="I20" i="2"/>
  <c r="K2" i="2"/>
  <c r="I2" i="2"/>
  <c r="G2" i="2"/>
  <c r="H2" i="2"/>
  <c r="J2" i="2"/>
  <c r="M26" i="2"/>
  <c r="K18" i="2"/>
  <c r="G18" i="2"/>
  <c r="K23" i="2"/>
  <c r="G23" i="2"/>
  <c r="J15" i="2"/>
  <c r="J6" i="2"/>
  <c r="K10" i="2"/>
  <c r="I10" i="2"/>
  <c r="G10" i="2"/>
  <c r="K3" i="2"/>
  <c r="G3" i="2"/>
  <c r="K8" i="2"/>
  <c r="I8" i="2"/>
  <c r="G8" i="2"/>
  <c r="K14" i="2"/>
  <c r="G14" i="2"/>
  <c r="I14" i="2"/>
  <c r="H10" i="2"/>
  <c r="K15" i="2"/>
  <c r="G15" i="2"/>
  <c r="I15" i="2"/>
  <c r="K22" i="2"/>
  <c r="G22" i="2"/>
  <c r="K13" i="2"/>
  <c r="G13" i="2"/>
  <c r="I22" i="2"/>
  <c r="H14" i="2"/>
  <c r="J9" i="2"/>
  <c r="K17" i="2"/>
  <c r="G17" i="2"/>
  <c r="I17" i="2"/>
  <c r="K16" i="2"/>
  <c r="I16" i="2"/>
  <c r="G16" i="2"/>
  <c r="H16" i="2"/>
  <c r="K7" i="2"/>
  <c r="I7" i="2"/>
  <c r="G7" i="2"/>
  <c r="K6" i="2"/>
  <c r="G6" i="2"/>
  <c r="I6" i="2"/>
  <c r="K21" i="2"/>
  <c r="G21" i="2"/>
  <c r="K4" i="2"/>
  <c r="G4" i="2"/>
  <c r="J18" i="2"/>
  <c r="J13" i="2"/>
  <c r="J4" i="2"/>
  <c r="K9" i="2"/>
  <c r="I9" i="2"/>
  <c r="G9" i="2"/>
  <c r="H23" i="2"/>
  <c r="J22" i="2"/>
  <c r="K5" i="2"/>
  <c r="G5" i="2"/>
  <c r="I5" i="2"/>
  <c r="K20" i="2"/>
  <c r="G20" i="2"/>
  <c r="K12" i="2"/>
  <c r="G12" i="2"/>
  <c r="H22" i="2"/>
  <c r="K19" i="2"/>
  <c r="G19" i="2"/>
  <c r="K11" i="2"/>
  <c r="G11" i="2"/>
  <c r="I11" i="2"/>
  <c r="H3" i="2"/>
  <c r="J21" i="2"/>
  <c r="H18" i="2"/>
  <c r="H13" i="2"/>
  <c r="J8" i="2"/>
  <c r="I4" i="2"/>
  <c r="M19" i="2" l="1"/>
  <c r="M20" i="2"/>
  <c r="M23" i="2"/>
  <c r="M3" i="2"/>
  <c r="M12" i="2"/>
  <c r="M16" i="2"/>
  <c r="M7" i="2"/>
  <c r="M2" i="2"/>
  <c r="M5" i="2"/>
  <c r="M10" i="2"/>
  <c r="M6" i="2"/>
  <c r="M4" i="2"/>
  <c r="M8" i="2"/>
  <c r="M13" i="2"/>
  <c r="M15" i="2"/>
  <c r="M11" i="2"/>
  <c r="M18" i="2"/>
  <c r="M14" i="2"/>
  <c r="M22" i="2"/>
  <c r="M17" i="2"/>
  <c r="M21" i="2"/>
  <c r="M9" i="2"/>
  <c r="M30"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Sias Emanuela</author>
  </authors>
  <commentList>
    <comment ref="I14" authorId="0" shapeId="0" xr:uid="{00000000-0006-0000-0300-000001000000}">
      <text>
        <r>
          <rPr>
            <b/>
            <sz val="9"/>
            <color indexed="81"/>
            <rFont val="Tahoma"/>
            <charset val="1"/>
          </rPr>
          <t>Sias Emanuela:</t>
        </r>
        <r>
          <rPr>
            <sz val="9"/>
            <color indexed="81"/>
            <rFont val="Tahoma"/>
            <charset val="1"/>
          </rPr>
          <t xml:space="preserve">
Vedi file PO dal 2026</t>
        </r>
      </text>
    </comment>
    <comment ref="I16" authorId="0" shapeId="0" xr:uid="{00000000-0006-0000-0300-000002000000}">
      <text>
        <r>
          <rPr>
            <b/>
            <sz val="9"/>
            <color indexed="81"/>
            <rFont val="Tahoma"/>
            <family val="2"/>
          </rPr>
          <t>Sias Emanuela:</t>
        </r>
        <r>
          <rPr>
            <sz val="9"/>
            <color indexed="81"/>
            <rFont val="Tahoma"/>
            <family val="2"/>
          </rPr>
          <t xml:space="preserve">
Fondo al netto di RAS comparto unico e DL 25/2025 destinato a EQ</t>
        </r>
      </text>
    </comment>
    <comment ref="I17" authorId="0" shapeId="0" xr:uid="{00000000-0006-0000-0300-000003000000}">
      <text>
        <r>
          <rPr>
            <b/>
            <sz val="9"/>
            <color indexed="81"/>
            <rFont val="Tahoma"/>
            <family val="2"/>
          </rPr>
          <t>Sias Emanuela:</t>
        </r>
        <r>
          <rPr>
            <sz val="9"/>
            <color indexed="81"/>
            <rFont val="Tahoma"/>
            <family val="2"/>
          </rPr>
          <t xml:space="preserve">
Fondo al netto di RAS comparto unico e DL 25/2025 destinato a EQ</t>
        </r>
      </text>
    </comment>
    <comment ref="I20" authorId="0" shapeId="0" xr:uid="{00000000-0006-0000-0300-000004000000}">
      <text>
        <r>
          <rPr>
            <b/>
            <sz val="9"/>
            <color indexed="81"/>
            <rFont val="Tahoma"/>
            <charset val="1"/>
          </rPr>
          <t>Sias Emanuela:</t>
        </r>
        <r>
          <rPr>
            <sz val="9"/>
            <color indexed="81"/>
            <rFont val="Tahoma"/>
            <charset val="1"/>
          </rPr>
          <t xml:space="preserve">
IPOTESI</t>
        </r>
      </text>
    </comment>
    <comment ref="I35" authorId="0" shapeId="0" xr:uid="{00000000-0006-0000-0300-000005000000}">
      <text>
        <r>
          <rPr>
            <b/>
            <sz val="9"/>
            <color indexed="81"/>
            <rFont val="Tahoma"/>
            <charset val="1"/>
          </rPr>
          <t>Sias Emanuela:</t>
        </r>
        <r>
          <rPr>
            <sz val="9"/>
            <color indexed="81"/>
            <rFont val="Tahoma"/>
            <charset val="1"/>
          </rPr>
          <t xml:space="preserve">
Vedi file PO dal 2026</t>
        </r>
      </text>
    </comment>
    <comment ref="I37" authorId="0" shapeId="0" xr:uid="{00000000-0006-0000-0300-000006000000}">
      <text>
        <r>
          <rPr>
            <b/>
            <sz val="9"/>
            <color indexed="81"/>
            <rFont val="Tahoma"/>
            <family val="2"/>
          </rPr>
          <t>Sias Emanuela:</t>
        </r>
        <r>
          <rPr>
            <sz val="9"/>
            <color indexed="81"/>
            <rFont val="Tahoma"/>
            <family val="2"/>
          </rPr>
          <t xml:space="preserve">
Fondo al netto di RAS comparto unico e DL 25/2025 destinato a EQ</t>
        </r>
      </text>
    </comment>
    <comment ref="I40" authorId="0" shapeId="0" xr:uid="{00000000-0006-0000-0300-000007000000}">
      <text>
        <r>
          <rPr>
            <b/>
            <sz val="9"/>
            <color indexed="81"/>
            <rFont val="Tahoma"/>
            <charset val="1"/>
          </rPr>
          <t>Sias Emanuela:</t>
        </r>
        <r>
          <rPr>
            <sz val="9"/>
            <color indexed="81"/>
            <rFont val="Tahoma"/>
            <charset val="1"/>
          </rPr>
          <t xml:space="preserve">
IPOTESI</t>
        </r>
      </text>
    </comment>
    <comment ref="I54" authorId="0" shapeId="0" xr:uid="{00000000-0006-0000-0300-000008000000}">
      <text>
        <r>
          <rPr>
            <b/>
            <sz val="9"/>
            <color indexed="81"/>
            <rFont val="Tahoma"/>
            <charset val="1"/>
          </rPr>
          <t>Sias Emanuela:</t>
        </r>
        <r>
          <rPr>
            <sz val="9"/>
            <color indexed="81"/>
            <rFont val="Tahoma"/>
            <charset val="1"/>
          </rPr>
          <t xml:space="preserve">
Vedi file PO dal 2026</t>
        </r>
      </text>
    </comment>
    <comment ref="I56" authorId="0" shapeId="0" xr:uid="{00000000-0006-0000-0300-000009000000}">
      <text>
        <r>
          <rPr>
            <b/>
            <sz val="9"/>
            <color indexed="81"/>
            <rFont val="Tahoma"/>
            <family val="2"/>
          </rPr>
          <t>Sias Emanuela:</t>
        </r>
        <r>
          <rPr>
            <sz val="9"/>
            <color indexed="81"/>
            <rFont val="Tahoma"/>
            <family val="2"/>
          </rPr>
          <t xml:space="preserve">
Fondo al netto di RAS comparto unico e DL 25/2025 destinato a EQ</t>
        </r>
      </text>
    </comment>
    <comment ref="I59" authorId="0" shapeId="0" xr:uid="{00000000-0006-0000-0300-00000A000000}">
      <text>
        <r>
          <rPr>
            <b/>
            <sz val="9"/>
            <color indexed="81"/>
            <rFont val="Tahoma"/>
            <charset val="1"/>
          </rPr>
          <t>Sias Emanuela:</t>
        </r>
        <r>
          <rPr>
            <sz val="9"/>
            <color indexed="81"/>
            <rFont val="Tahoma"/>
            <charset val="1"/>
          </rPr>
          <t xml:space="preserve">
IPOTESI</t>
        </r>
      </text>
    </comment>
  </commentList>
</comments>
</file>

<file path=xl/sharedStrings.xml><?xml version="1.0" encoding="utf-8"?>
<sst xmlns="http://schemas.openxmlformats.org/spreadsheetml/2006/main" count="393" uniqueCount="161">
  <si>
    <r>
      <t>POSIZIONE</t>
    </r>
    <r>
      <rPr>
        <sz val="9"/>
        <color rgb="FF000000"/>
        <rFont val="Verdana"/>
        <family val="2"/>
      </rPr>
      <t xml:space="preserve"> </t>
    </r>
    <r>
      <rPr>
        <b/>
        <sz val="9"/>
        <color rgb="FF000000"/>
        <rFont val="Verdana"/>
        <family val="2"/>
      </rPr>
      <t>ECONOMICA</t>
    </r>
  </si>
  <si>
    <r>
      <t>STIPENDIO</t>
    </r>
    <r>
      <rPr>
        <sz val="9"/>
        <color rgb="FF000000"/>
        <rFont val="Verdana"/>
        <family val="2"/>
      </rPr>
      <t xml:space="preserve"> </t>
    </r>
    <r>
      <rPr>
        <b/>
        <sz val="9"/>
        <color rgb="FF000000"/>
        <rFont val="Verdana"/>
        <family val="2"/>
      </rPr>
      <t>LORDO</t>
    </r>
    <r>
      <rPr>
        <sz val="9"/>
        <color rgb="FF000000"/>
        <rFont val="Verdana"/>
        <family val="2"/>
      </rPr>
      <t xml:space="preserve"> </t>
    </r>
    <r>
      <rPr>
        <b/>
        <sz val="9"/>
        <color rgb="FF000000"/>
        <rFont val="Verdana"/>
        <family val="2"/>
      </rPr>
      <t>(€)</t>
    </r>
  </si>
  <si>
    <r>
      <t>Posizione</t>
    </r>
    <r>
      <rPr>
        <sz val="9"/>
        <color rgb="FF545353"/>
        <rFont val="Verdana"/>
        <family val="2"/>
      </rPr>
      <t xml:space="preserve"> </t>
    </r>
    <r>
      <rPr>
        <b/>
        <sz val="9"/>
        <color rgb="FF545353"/>
        <rFont val="Verdana"/>
        <family val="2"/>
      </rPr>
      <t>economica B1</t>
    </r>
  </si>
  <si>
    <r>
      <t>Posizione</t>
    </r>
    <r>
      <rPr>
        <sz val="9"/>
        <color rgb="FF545353"/>
        <rFont val="Verdana"/>
        <family val="2"/>
      </rPr>
      <t xml:space="preserve"> </t>
    </r>
    <r>
      <rPr>
        <b/>
        <sz val="9"/>
        <color rgb="FF545353"/>
        <rFont val="Verdana"/>
        <family val="2"/>
      </rPr>
      <t>economica B2</t>
    </r>
  </si>
  <si>
    <r>
      <t>Posizione</t>
    </r>
    <r>
      <rPr>
        <sz val="9"/>
        <color rgb="FF545353"/>
        <rFont val="Verdana"/>
        <family val="2"/>
      </rPr>
      <t xml:space="preserve"> </t>
    </r>
    <r>
      <rPr>
        <b/>
        <sz val="9"/>
        <color rgb="FF545353"/>
        <rFont val="Verdana"/>
        <family val="2"/>
      </rPr>
      <t>economica B3</t>
    </r>
  </si>
  <si>
    <r>
      <t>Posizione</t>
    </r>
    <r>
      <rPr>
        <sz val="9"/>
        <color rgb="FF545353"/>
        <rFont val="Verdana"/>
        <family val="2"/>
      </rPr>
      <t xml:space="preserve"> </t>
    </r>
    <r>
      <rPr>
        <b/>
        <sz val="9"/>
        <color rgb="FF545353"/>
        <rFont val="Verdana"/>
        <family val="2"/>
      </rPr>
      <t>economica B4</t>
    </r>
  </si>
  <si>
    <r>
      <t>Posizione</t>
    </r>
    <r>
      <rPr>
        <sz val="9"/>
        <color rgb="FF545353"/>
        <rFont val="Verdana"/>
        <family val="2"/>
      </rPr>
      <t xml:space="preserve"> </t>
    </r>
    <r>
      <rPr>
        <b/>
        <sz val="9"/>
        <color rgb="FF545353"/>
        <rFont val="Verdana"/>
        <family val="2"/>
      </rPr>
      <t>economica B5</t>
    </r>
  </si>
  <si>
    <r>
      <t>Posizione</t>
    </r>
    <r>
      <rPr>
        <sz val="9"/>
        <color rgb="FF545353"/>
        <rFont val="Verdana"/>
        <family val="2"/>
      </rPr>
      <t xml:space="preserve"> </t>
    </r>
    <r>
      <rPr>
        <b/>
        <sz val="9"/>
        <color rgb="FF545353"/>
        <rFont val="Verdana"/>
        <family val="2"/>
      </rPr>
      <t>economica B6</t>
    </r>
  </si>
  <si>
    <r>
      <t>Posizione</t>
    </r>
    <r>
      <rPr>
        <sz val="9"/>
        <color rgb="FF545353"/>
        <rFont val="Verdana"/>
        <family val="2"/>
      </rPr>
      <t xml:space="preserve"> </t>
    </r>
    <r>
      <rPr>
        <b/>
        <sz val="9"/>
        <color rgb="FF545353"/>
        <rFont val="Verdana"/>
        <family val="2"/>
      </rPr>
      <t>economica B7</t>
    </r>
  </si>
  <si>
    <r>
      <t>Posizione</t>
    </r>
    <r>
      <rPr>
        <sz val="9"/>
        <color rgb="FF545353"/>
        <rFont val="Verdana"/>
        <family val="2"/>
      </rPr>
      <t xml:space="preserve"> </t>
    </r>
    <r>
      <rPr>
        <b/>
        <sz val="9"/>
        <color rgb="FF545353"/>
        <rFont val="Verdana"/>
        <family val="2"/>
      </rPr>
      <t>economica B8</t>
    </r>
  </si>
  <si>
    <r>
      <t>Posizione</t>
    </r>
    <r>
      <rPr>
        <sz val="9"/>
        <color rgb="FF545353"/>
        <rFont val="Verdana"/>
        <family val="2"/>
      </rPr>
      <t xml:space="preserve"> </t>
    </r>
    <r>
      <rPr>
        <b/>
        <sz val="9"/>
        <color rgb="FF545353"/>
        <rFont val="Verdana"/>
        <family val="2"/>
      </rPr>
      <t>economica C1</t>
    </r>
  </si>
  <si>
    <r>
      <t>Posizione</t>
    </r>
    <r>
      <rPr>
        <sz val="9"/>
        <color rgb="FF545353"/>
        <rFont val="Verdana"/>
        <family val="2"/>
      </rPr>
      <t xml:space="preserve"> </t>
    </r>
    <r>
      <rPr>
        <b/>
        <sz val="9"/>
        <color rgb="FF545353"/>
        <rFont val="Verdana"/>
        <family val="2"/>
      </rPr>
      <t>economica C2</t>
    </r>
  </si>
  <si>
    <r>
      <t>Posizione</t>
    </r>
    <r>
      <rPr>
        <sz val="9"/>
        <color rgb="FF545353"/>
        <rFont val="Verdana"/>
        <family val="2"/>
      </rPr>
      <t xml:space="preserve"> </t>
    </r>
    <r>
      <rPr>
        <b/>
        <sz val="9"/>
        <color rgb="FF545353"/>
        <rFont val="Verdana"/>
        <family val="2"/>
      </rPr>
      <t>economica C3</t>
    </r>
  </si>
  <si>
    <r>
      <t>Posizione</t>
    </r>
    <r>
      <rPr>
        <sz val="9"/>
        <color rgb="FF545353"/>
        <rFont val="Verdana"/>
        <family val="2"/>
      </rPr>
      <t xml:space="preserve"> </t>
    </r>
    <r>
      <rPr>
        <b/>
        <sz val="9"/>
        <color rgb="FF545353"/>
        <rFont val="Verdana"/>
        <family val="2"/>
      </rPr>
      <t>economica C4</t>
    </r>
  </si>
  <si>
    <r>
      <t>Posizione</t>
    </r>
    <r>
      <rPr>
        <sz val="9"/>
        <color rgb="FF545353"/>
        <rFont val="Verdana"/>
        <family val="2"/>
      </rPr>
      <t xml:space="preserve"> </t>
    </r>
    <r>
      <rPr>
        <b/>
        <sz val="9"/>
        <color rgb="FF545353"/>
        <rFont val="Verdana"/>
        <family val="2"/>
      </rPr>
      <t>economica C5</t>
    </r>
  </si>
  <si>
    <r>
      <t>Posizione</t>
    </r>
    <r>
      <rPr>
        <sz val="9"/>
        <color rgb="FF545353"/>
        <rFont val="Verdana"/>
        <family val="2"/>
      </rPr>
      <t xml:space="preserve"> </t>
    </r>
    <r>
      <rPr>
        <b/>
        <sz val="9"/>
        <color rgb="FF545353"/>
        <rFont val="Verdana"/>
        <family val="2"/>
      </rPr>
      <t>economica C6</t>
    </r>
  </si>
  <si>
    <r>
      <t>Posizione</t>
    </r>
    <r>
      <rPr>
        <sz val="9"/>
        <color rgb="FF545353"/>
        <rFont val="Verdana"/>
        <family val="2"/>
      </rPr>
      <t xml:space="preserve"> </t>
    </r>
    <r>
      <rPr>
        <b/>
        <sz val="9"/>
        <color rgb="FF545353"/>
        <rFont val="Verdana"/>
        <family val="2"/>
      </rPr>
      <t>economica D1</t>
    </r>
  </si>
  <si>
    <r>
      <t>Posizione</t>
    </r>
    <r>
      <rPr>
        <sz val="9"/>
        <color rgb="FF545353"/>
        <rFont val="Verdana"/>
        <family val="2"/>
      </rPr>
      <t xml:space="preserve"> </t>
    </r>
    <r>
      <rPr>
        <b/>
        <sz val="9"/>
        <color rgb="FF545353"/>
        <rFont val="Verdana"/>
        <family val="2"/>
      </rPr>
      <t>economica D2</t>
    </r>
  </si>
  <si>
    <r>
      <t>Posizione</t>
    </r>
    <r>
      <rPr>
        <sz val="9"/>
        <color rgb="FF545353"/>
        <rFont val="Verdana"/>
        <family val="2"/>
      </rPr>
      <t xml:space="preserve"> </t>
    </r>
    <r>
      <rPr>
        <b/>
        <sz val="9"/>
        <color rgb="FF545353"/>
        <rFont val="Verdana"/>
        <family val="2"/>
      </rPr>
      <t>economica D3</t>
    </r>
  </si>
  <si>
    <r>
      <t>Posizione</t>
    </r>
    <r>
      <rPr>
        <sz val="9"/>
        <color rgb="FF545353"/>
        <rFont val="Verdana"/>
        <family val="2"/>
      </rPr>
      <t xml:space="preserve"> </t>
    </r>
    <r>
      <rPr>
        <b/>
        <sz val="9"/>
        <color rgb="FF545353"/>
        <rFont val="Verdana"/>
        <family val="2"/>
      </rPr>
      <t>economica D4</t>
    </r>
  </si>
  <si>
    <r>
      <t>Posizione</t>
    </r>
    <r>
      <rPr>
        <sz val="9"/>
        <color rgb="FF545353"/>
        <rFont val="Verdana"/>
        <family val="2"/>
      </rPr>
      <t xml:space="preserve"> </t>
    </r>
    <r>
      <rPr>
        <b/>
        <sz val="9"/>
        <color rgb="FF545353"/>
        <rFont val="Verdana"/>
        <family val="2"/>
      </rPr>
      <t>economica D5</t>
    </r>
  </si>
  <si>
    <r>
      <t>Posizione</t>
    </r>
    <r>
      <rPr>
        <sz val="9"/>
        <color rgb="FF545353"/>
        <rFont val="Verdana"/>
        <family val="2"/>
      </rPr>
      <t xml:space="preserve"> </t>
    </r>
    <r>
      <rPr>
        <b/>
        <sz val="9"/>
        <color rgb="FF545353"/>
        <rFont val="Verdana"/>
        <family val="2"/>
      </rPr>
      <t>economica D6</t>
    </r>
  </si>
  <si>
    <r>
      <t>Posizione</t>
    </r>
    <r>
      <rPr>
        <sz val="9"/>
        <color rgb="FF545353"/>
        <rFont val="Verdana"/>
        <family val="2"/>
      </rPr>
      <t xml:space="preserve"> </t>
    </r>
    <r>
      <rPr>
        <b/>
        <sz val="9"/>
        <color rgb="FF545353"/>
        <rFont val="Verdana"/>
        <family val="2"/>
      </rPr>
      <t>economica D7</t>
    </r>
  </si>
  <si>
    <t>inadel</t>
  </si>
  <si>
    <t>inadel 3,6</t>
  </si>
  <si>
    <t>inadel 6,1</t>
  </si>
  <si>
    <t>posizioni organizzative</t>
  </si>
  <si>
    <t>fondo di produttività</t>
  </si>
  <si>
    <t>posizione A4</t>
  </si>
  <si>
    <t>IRAP</t>
  </si>
  <si>
    <t>comparto</t>
  </si>
  <si>
    <t>vacanza contrattuale 2020</t>
  </si>
  <si>
    <t>segretario comunale c</t>
  </si>
  <si>
    <t>buoni mensa</t>
  </si>
  <si>
    <t>assegni familiari</t>
  </si>
  <si>
    <t>inail</t>
  </si>
  <si>
    <t>Inail</t>
  </si>
  <si>
    <t>tempo determinato</t>
  </si>
  <si>
    <t>elemento perequativo</t>
  </si>
  <si>
    <t>IVC + Perequativo</t>
  </si>
  <si>
    <t>Cpdel</t>
  </si>
  <si>
    <t>QUALIFICA</t>
  </si>
  <si>
    <t>DIPENDENTE</t>
  </si>
  <si>
    <t>CAT.</t>
  </si>
  <si>
    <t>H/SETT</t>
  </si>
  <si>
    <t>Operaio Comunale</t>
  </si>
  <si>
    <t>Moi Pietro</t>
  </si>
  <si>
    <t>A2</t>
  </si>
  <si>
    <t>Murru Orazio</t>
  </si>
  <si>
    <t>Collaboratore amministrativo</t>
  </si>
  <si>
    <t>B5</t>
  </si>
  <si>
    <t>VACANTE</t>
  </si>
  <si>
    <t>C1</t>
  </si>
  <si>
    <t>Istruttore Direttivo Amministrativo</t>
  </si>
  <si>
    <t>Bussu Angelica</t>
  </si>
  <si>
    <t>D1</t>
  </si>
  <si>
    <t>Istruttore Direttivo Tecnico</t>
  </si>
  <si>
    <t>Lavra Valentina</t>
  </si>
  <si>
    <t>Istruttore Diretivo Contabile</t>
  </si>
  <si>
    <t>Istruttore Direttivo Contabile</t>
  </si>
  <si>
    <t>Cinzia Balducchi</t>
  </si>
  <si>
    <t>Segretario Comunale - Reggenza a scavalco (per 10 mesi)</t>
  </si>
  <si>
    <t>Segretario Comunale - Reggenza a tempo pieno (per 2 mesi)</t>
  </si>
  <si>
    <t>A</t>
  </si>
  <si>
    <t>B3</t>
  </si>
  <si>
    <t>D</t>
  </si>
  <si>
    <t>POSIZIONE ECONOMICA</t>
  </si>
  <si>
    <t>indennità vacanza contrattuale 2020</t>
  </si>
  <si>
    <t>stipendio annuo lordo</t>
  </si>
  <si>
    <t>stipendio mensile lordo</t>
  </si>
  <si>
    <t>indennità di comparto</t>
  </si>
  <si>
    <t>tempo di lavoro</t>
  </si>
  <si>
    <t>totale</t>
  </si>
  <si>
    <t>segretario comunale</t>
  </si>
  <si>
    <t>Istruttore Tecnico-contabile</t>
  </si>
  <si>
    <t>Istruttore Direttivo socio-assistenziale</t>
  </si>
  <si>
    <t>C</t>
  </si>
  <si>
    <t>fascia B</t>
  </si>
  <si>
    <t>indennità di vacanza contrattuale 2020</t>
  </si>
  <si>
    <t>PROFILO PROFESSIONALE</t>
  </si>
  <si>
    <t>collaboratore tecnico</t>
  </si>
  <si>
    <t>CATEGORIA</t>
  </si>
  <si>
    <t>Claudio Demartis</t>
  </si>
  <si>
    <t>STIPENDIO MENSILE LORDO</t>
  </si>
  <si>
    <t>TIPOLOGIA</t>
  </si>
  <si>
    <t>TEMPO INDETERMINATO</t>
  </si>
  <si>
    <t>Istruttore di Vigilanza</t>
  </si>
  <si>
    <t>TEMPO DETERMINATO</t>
  </si>
  <si>
    <t>DATA TERMINE</t>
  </si>
  <si>
    <t>-</t>
  </si>
  <si>
    <t>30.06.2021</t>
  </si>
  <si>
    <t>30.06.2022</t>
  </si>
  <si>
    <t>28.02.2022</t>
  </si>
  <si>
    <t>D5</t>
  </si>
  <si>
    <t>Istruttore  Direttivo Amministrativo</t>
  </si>
  <si>
    <t>Istruttore Amministrativo</t>
  </si>
  <si>
    <t>31.12.2022</t>
  </si>
  <si>
    <t>C2</t>
  </si>
  <si>
    <t>C3</t>
  </si>
  <si>
    <t>Istruttore tecnico</t>
  </si>
  <si>
    <t>ART. 110</t>
  </si>
  <si>
    <t>Istruttore direttivo Tecnico</t>
  </si>
  <si>
    <t>TEMPO INDETERMINATO DAL 01/07/2022</t>
  </si>
  <si>
    <t>ASSUNZIONE</t>
  </si>
  <si>
    <t>IMPORTO</t>
  </si>
  <si>
    <t>PRODUTTIVITA'</t>
  </si>
  <si>
    <t>BUONI PASTO</t>
  </si>
  <si>
    <t>POSTO COPERTO</t>
  </si>
  <si>
    <t>D2</t>
  </si>
  <si>
    <t>Totale</t>
  </si>
  <si>
    <t>SEGRETERIA CONVENZIONE</t>
  </si>
  <si>
    <t>TEMPO IND.TO</t>
  </si>
  <si>
    <t xml:space="preserve">Istruttore amministrativo contabile </t>
  </si>
  <si>
    <t>DURATA</t>
  </si>
  <si>
    <t>INAIL</t>
  </si>
  <si>
    <t>TEMPO DI LAVORO</t>
  </si>
  <si>
    <t>CPDEL</t>
  </si>
  <si>
    <t>VACANZA CONTRATTUALE</t>
  </si>
  <si>
    <t>INDENNITA' DI COMPARTO</t>
  </si>
  <si>
    <t>STIPENDIO ANNUO LORDO</t>
  </si>
  <si>
    <t>EX CATEGORIA</t>
  </si>
  <si>
    <t>EX POSIZIONE ECONOMICA</t>
  </si>
  <si>
    <t>ANNO 2026</t>
  </si>
  <si>
    <t>RIDUZIONE 2,5%</t>
  </si>
  <si>
    <t>TFR 6,1%</t>
  </si>
  <si>
    <t>TFR 6,91%</t>
  </si>
  <si>
    <t>INDEN. POSIZIONE PO</t>
  </si>
  <si>
    <t>RISULTATO PO</t>
  </si>
  <si>
    <t>ANNO 2027</t>
  </si>
  <si>
    <t>TEMPO DET.</t>
  </si>
  <si>
    <t>4 MESI</t>
  </si>
  <si>
    <t>INDEN. POSIZIONE + RISULTATO EQ</t>
  </si>
  <si>
    <t>GALLEGGIAMENTO SEGR</t>
  </si>
  <si>
    <t>FONDO PRODUTTIVITA'</t>
  </si>
  <si>
    <t>Funzionario Servizi socio- assistenziali EQ</t>
  </si>
  <si>
    <t>Funzionario tecnico EQ</t>
  </si>
  <si>
    <t>INCREMENTI CONTRATTUALI</t>
  </si>
  <si>
    <t>Istruttore amministrativo contabile 12 ore settimanali (in regime di 557).</t>
  </si>
  <si>
    <t>Funzionario Contabile 12 ore settimanali (in regime di 557).</t>
  </si>
  <si>
    <t>6 MESI</t>
  </si>
  <si>
    <t>N°</t>
  </si>
  <si>
    <t>Profilo professionale</t>
  </si>
  <si>
    <t>Periodo</t>
  </si>
  <si>
    <t>Anno</t>
  </si>
  <si>
    <t>Costo</t>
  </si>
  <si>
    <t>Cessione capacità di spesa per assunzioni a tempo determinato all’ Unione Parte Montis</t>
  </si>
  <si>
    <t>Istruttore amministrativo contabile 12 ore settimanali (in regime di scavalco condiviso- c. 557).</t>
  </si>
  <si>
    <t>Marzo – Aprile</t>
  </si>
  <si>
    <t>Funzionario Contabile 12 ore settimanali (in regime di scavalco condiviso c. 557).</t>
  </si>
  <si>
    <t>Gennaio-giugno</t>
  </si>
  <si>
    <t>TOTALE SPESA A TEMPO DETERMINATO</t>
  </si>
  <si>
    <t>LIMITE TEMPO DETERMINATO 2'026</t>
  </si>
  <si>
    <t>Funzionario Contabile EQ</t>
  </si>
  <si>
    <t>ANNO 2028</t>
  </si>
  <si>
    <t>FONDO STRAORDINARIO</t>
  </si>
  <si>
    <t>B</t>
  </si>
  <si>
    <t xml:space="preserve">DECRETO-LEGGE 19 febbraio 2026, n. 19 
Art. 3 
Disposizioni   in   materia   di   rafforzamento   della    capacita'
       amministrativa dei soggetti attuatori delle misure PNRR 
3. A decorrere  dalla  data  di  entrata  in  vigore  del  presente decreto, nei comuni fino a 3.000 abitanti la spesa per il  segretario comunale, per gli importi previsti, secondo la popolazione dell'ente, dagli articoli 57, comma 3, 58, comma 1, e 61, comma 2, del contratto collettivo nazionale di lavoro (CCNL) relativo al personale dell'area funzioni locali del 16 luglio 2024, non rileva ai fini  del  rispetto dei limiti previsti dall'articolo 1, commi 557-quater  e  562,  della legge 27 dicembre 2006, n. 296, e  dall'articolo  23,  comma  2,  del decreto legislativo 25 maggio 2017, n. 75. Per gli enti  interessati, resta applicabile, fino alla scadenza prevista, l'articolo  3,  comma 6,  del  decreto-legge  22  aprile  2023,  n.  44,  convertito,   con modificazioni, dalla legge 21 giugno 2023, n. 74.  </t>
  </si>
  <si>
    <t>Attenzione: componente esclusa per c. 557 L. 296/2006 dal 2026 a seguito di art. 3 c. 3 DL 19/2026</t>
  </si>
  <si>
    <t>Collaboratore amministrativo contabile. Rientro nel periodo di conservazione del posto. Decorrenza 5.3.2025 PT 30 ore</t>
  </si>
  <si>
    <t>Collaboratore amministrativo contabile. PT 30 ore</t>
  </si>
  <si>
    <t>Funzionario Contabile EQ - decorrenza 1/04/2026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</si>
</sst>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8" formatCode="#,##0.00\ &quot;€&quot;;[Red]\-#,##0.00\ &quot;€&quot;"/>
    <numFmt numFmtId="44" formatCode="_-* #,##0.00\ &quot;€&quot;_-;\-* #,##0.00\ &quot;€&quot;_-;_-* &quot;-&quot;??\ &quot;€&quot;_-;_-@_-"/>
    <numFmt numFmtId="43" formatCode="_-* #,##0.00_-;\-* #,##0.00_-;_-* &quot;-&quot;??_-;_-@_-"/>
    <numFmt numFmtId="164" formatCode="#,##0.00\ &quot;€&quot;"/>
    <numFmt numFmtId="165" formatCode="#,##0.0000"/>
  </numFmts>
  <fonts count="29" x14ac:knownFonts="1">
    <font>
      <sz val="11"/>
      <color theme="1"/>
      <name val="Calibri"/>
      <family val="2"/>
      <scheme val="minor"/>
    </font>
    <font>
      <sz val="9"/>
      <color rgb="FF545353"/>
      <name val="Verdana"/>
      <family val="2"/>
    </font>
    <font>
      <sz val="9"/>
      <color rgb="FF000000"/>
      <name val="Verdana"/>
      <family val="2"/>
    </font>
    <font>
      <b/>
      <sz val="9"/>
      <color rgb="FF000000"/>
      <name val="Verdana"/>
      <family val="2"/>
    </font>
    <font>
      <b/>
      <sz val="9"/>
      <color rgb="FF545353"/>
      <name val="Verdana"/>
      <family val="2"/>
    </font>
    <font>
      <sz val="9"/>
      <color theme="1"/>
      <name val="Verdana"/>
      <family val="2"/>
    </font>
    <font>
      <b/>
      <sz val="9"/>
      <color theme="1"/>
      <name val="Verdana"/>
      <family val="2"/>
    </font>
    <font>
      <sz val="11"/>
      <name val="Calibri"/>
      <family val="2"/>
      <scheme val="minor"/>
    </font>
    <font>
      <b/>
      <sz val="9"/>
      <name val="Verdana"/>
      <family val="2"/>
    </font>
    <font>
      <sz val="9"/>
      <name val="Verdana"/>
      <family val="2"/>
    </font>
    <font>
      <b/>
      <sz val="11"/>
      <color theme="1"/>
      <name val="Calibri"/>
      <family val="2"/>
      <scheme val="minor"/>
    </font>
    <font>
      <b/>
      <sz val="11"/>
      <name val="Calibri"/>
      <family val="2"/>
      <scheme val="minor"/>
    </font>
    <font>
      <sz val="11"/>
      <color theme="1"/>
      <name val="Calibri"/>
      <family val="2"/>
      <scheme val="minor"/>
    </font>
    <font>
      <sz val="11"/>
      <color rgb="FF000000"/>
      <name val="Times New Roman"/>
      <family val="1"/>
    </font>
    <font>
      <b/>
      <sz val="11"/>
      <color rgb="FF000000"/>
      <name val="Times New Roman"/>
      <family val="1"/>
    </font>
    <font>
      <b/>
      <sz val="11"/>
      <name val="Times New Roman"/>
      <family val="1"/>
    </font>
    <font>
      <sz val="11"/>
      <name val="Times New Roman"/>
      <family val="1"/>
    </font>
    <font>
      <b/>
      <sz val="9"/>
      <name val="Times New Roman"/>
      <family val="1"/>
    </font>
    <font>
      <sz val="10"/>
      <color theme="1"/>
      <name val="Calibri"/>
      <family val="2"/>
      <scheme val="minor"/>
    </font>
    <font>
      <sz val="10"/>
      <name val="Times New Roman"/>
      <family val="1"/>
    </font>
    <font>
      <sz val="9"/>
      <color indexed="81"/>
      <name val="Tahoma"/>
      <charset val="1"/>
    </font>
    <font>
      <b/>
      <sz val="9"/>
      <color indexed="81"/>
      <name val="Tahoma"/>
      <charset val="1"/>
    </font>
    <font>
      <sz val="11"/>
      <color rgb="FFFF0000"/>
      <name val="Times New Roman"/>
      <family val="1"/>
    </font>
    <font>
      <b/>
      <sz val="12"/>
      <color rgb="FF002060"/>
      <name val="Garamond"/>
      <family val="1"/>
    </font>
    <font>
      <sz val="12"/>
      <color rgb="FF002060"/>
      <name val="Garamond"/>
      <family val="1"/>
    </font>
    <font>
      <sz val="9"/>
      <color indexed="81"/>
      <name val="Tahoma"/>
      <family val="2"/>
    </font>
    <font>
      <sz val="10"/>
      <name val="Calibri"/>
      <family val="2"/>
      <scheme val="minor"/>
    </font>
    <font>
      <b/>
      <sz val="9"/>
      <color indexed="81"/>
      <name val="Tahoma"/>
      <family val="2"/>
    </font>
    <font>
      <b/>
      <sz val="11"/>
      <color indexed="8"/>
      <name val="Aptos Narrow"/>
      <family val="2"/>
    </font>
  </fonts>
  <fills count="6">
    <fill>
      <patternFill patternType="none"/>
    </fill>
    <fill>
      <patternFill patternType="gray125"/>
    </fill>
    <fill>
      <patternFill patternType="solid">
        <fgColor theme="2"/>
        <bgColor indexed="64"/>
      </patternFill>
    </fill>
    <fill>
      <patternFill patternType="solid">
        <fgColor theme="0"/>
        <bgColor indexed="64"/>
      </patternFill>
    </fill>
    <fill>
      <patternFill patternType="solid">
        <fgColor theme="8" tint="0.59999389629810485"/>
        <bgColor indexed="64"/>
      </patternFill>
    </fill>
    <fill>
      <patternFill patternType="solid">
        <fgColor rgb="FFC5E2FF"/>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diagonal/>
    </border>
    <border>
      <left/>
      <right/>
      <top style="thin">
        <color indexed="64"/>
      </top>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s>
  <cellStyleXfs count="3">
    <xf numFmtId="0" fontId="0" fillId="0" borderId="0"/>
    <xf numFmtId="43" fontId="12" fillId="0" borderId="0" applyFont="0" applyFill="0" applyBorder="0" applyAlignment="0" applyProtection="0"/>
    <xf numFmtId="44" fontId="12" fillId="0" borderId="0" applyFont="0" applyFill="0" applyBorder="0" applyAlignment="0" applyProtection="0"/>
  </cellStyleXfs>
  <cellXfs count="175">
    <xf numFmtId="0" fontId="0" fillId="0" borderId="0" xfId="0"/>
    <xf numFmtId="4" fontId="0" fillId="0" borderId="0" xfId="0" applyNumberFormat="1"/>
    <xf numFmtId="0" fontId="3" fillId="0" borderId="1" xfId="0" applyFont="1" applyBorder="1" applyAlignment="1">
      <alignment horizontal="center" vertical="center" wrapText="1"/>
    </xf>
    <xf numFmtId="0" fontId="0" fillId="0" borderId="1" xfId="0" applyBorder="1"/>
    <xf numFmtId="0" fontId="4" fillId="0" borderId="1" xfId="0" applyFont="1" applyBorder="1" applyAlignment="1">
      <alignment horizontal="center" vertical="center" wrapText="1"/>
    </xf>
    <xf numFmtId="4" fontId="1" fillId="0" borderId="1" xfId="0" applyNumberFormat="1" applyFont="1" applyBorder="1" applyAlignment="1">
      <alignment horizontal="center" vertical="center" wrapText="1"/>
    </xf>
    <xf numFmtId="164" fontId="0" fillId="0" borderId="1" xfId="0" applyNumberFormat="1" applyBorder="1"/>
    <xf numFmtId="4" fontId="0" fillId="0" borderId="1" xfId="0" applyNumberFormat="1" applyBorder="1"/>
    <xf numFmtId="12" fontId="0" fillId="0" borderId="1" xfId="0" applyNumberFormat="1" applyBorder="1"/>
    <xf numFmtId="12" fontId="0" fillId="0" borderId="0" xfId="0" applyNumberFormat="1"/>
    <xf numFmtId="0" fontId="0" fillId="0" borderId="1" xfId="0" applyBorder="1" applyAlignment="1">
      <alignment wrapText="1"/>
    </xf>
    <xf numFmtId="0" fontId="0" fillId="2" borderId="0" xfId="0" applyFill="1"/>
    <xf numFmtId="0" fontId="2" fillId="0" borderId="1" xfId="0" applyFont="1" applyBorder="1" applyAlignment="1">
      <alignment horizontal="center" vertical="center" wrapText="1"/>
    </xf>
    <xf numFmtId="0" fontId="5" fillId="0" borderId="1" xfId="0" applyFont="1" applyBorder="1" applyAlignment="1">
      <alignment horizontal="center" vertical="center" wrapText="1"/>
    </xf>
    <xf numFmtId="164" fontId="5" fillId="0" borderId="1" xfId="0" applyNumberFormat="1" applyFont="1" applyBorder="1" applyAlignment="1">
      <alignment horizontal="center" vertical="center" wrapText="1"/>
    </xf>
    <xf numFmtId="4" fontId="0" fillId="2" borderId="1" xfId="0" applyNumberFormat="1" applyFill="1" applyBorder="1"/>
    <xf numFmtId="4" fontId="0" fillId="0" borderId="1" xfId="0" applyNumberFormat="1" applyBorder="1" applyAlignment="1">
      <alignment wrapText="1"/>
    </xf>
    <xf numFmtId="4" fontId="0" fillId="0" borderId="1" xfId="0" applyNumberFormat="1" applyBorder="1" applyAlignment="1">
      <alignment vertical="center"/>
    </xf>
    <xf numFmtId="4" fontId="0" fillId="0" borderId="1" xfId="0" applyNumberFormat="1" applyBorder="1" applyAlignment="1">
      <alignment vertical="center" wrapText="1"/>
    </xf>
    <xf numFmtId="4" fontId="0" fillId="2" borderId="1" xfId="0" applyNumberFormat="1" applyFill="1" applyBorder="1" applyAlignment="1">
      <alignment vertical="center"/>
    </xf>
    <xf numFmtId="4" fontId="0" fillId="0" borderId="1" xfId="0" applyNumberFormat="1" applyBorder="1" applyAlignment="1">
      <alignment vertical="justify"/>
    </xf>
    <xf numFmtId="0" fontId="0" fillId="0" borderId="1" xfId="0" applyBorder="1" applyAlignment="1">
      <alignment vertical="justify"/>
    </xf>
    <xf numFmtId="0" fontId="0" fillId="0" borderId="1" xfId="0" applyBorder="1" applyAlignment="1">
      <alignment vertical="justify" wrapText="1"/>
    </xf>
    <xf numFmtId="0" fontId="0" fillId="2" borderId="1" xfId="0" applyFill="1" applyBorder="1" applyAlignment="1">
      <alignment vertical="justify"/>
    </xf>
    <xf numFmtId="12" fontId="0" fillId="0" borderId="1" xfId="0" applyNumberFormat="1" applyBorder="1" applyAlignment="1">
      <alignment vertical="justify" wrapText="1"/>
    </xf>
    <xf numFmtId="4" fontId="5" fillId="0" borderId="1" xfId="0" applyNumberFormat="1" applyFont="1" applyBorder="1" applyAlignment="1">
      <alignment horizontal="center" vertical="center" wrapText="1"/>
    </xf>
    <xf numFmtId="4" fontId="6" fillId="0" borderId="1" xfId="0" applyNumberFormat="1" applyFont="1" applyBorder="1" applyAlignment="1">
      <alignment horizontal="center" vertical="center" wrapText="1"/>
    </xf>
    <xf numFmtId="4" fontId="0" fillId="2" borderId="0" xfId="0" applyNumberFormat="1" applyFill="1"/>
    <xf numFmtId="0" fontId="0" fillId="0" borderId="1" xfId="0" applyBorder="1" applyAlignment="1">
      <alignment horizontal="center"/>
    </xf>
    <xf numFmtId="4" fontId="0" fillId="0" borderId="1" xfId="0" applyNumberFormat="1" applyBorder="1" applyAlignment="1">
      <alignment horizontal="center"/>
    </xf>
    <xf numFmtId="4" fontId="0" fillId="0" borderId="0" xfId="0" applyNumberFormat="1" applyAlignment="1">
      <alignment horizontal="center"/>
    </xf>
    <xf numFmtId="4" fontId="0" fillId="2" borderId="1" xfId="0" applyNumberFormat="1" applyFill="1" applyBorder="1" applyAlignment="1">
      <alignment horizontal="center"/>
    </xf>
    <xf numFmtId="4" fontId="0" fillId="0" borderId="1" xfId="0" applyNumberFormat="1" applyBorder="1" applyAlignment="1">
      <alignment horizontal="center" wrapText="1"/>
    </xf>
    <xf numFmtId="0" fontId="7" fillId="0" borderId="0" xfId="0" applyFont="1"/>
    <xf numFmtId="0" fontId="7" fillId="0" borderId="1" xfId="0" applyFont="1" applyBorder="1"/>
    <xf numFmtId="0" fontId="8" fillId="0" borderId="1" xfId="0" applyFont="1" applyBorder="1" applyAlignment="1">
      <alignment horizontal="center" vertical="center" wrapText="1"/>
    </xf>
    <xf numFmtId="0" fontId="7" fillId="0" borderId="1" xfId="0" applyFont="1" applyBorder="1" applyAlignment="1">
      <alignment wrapText="1"/>
    </xf>
    <xf numFmtId="0" fontId="9" fillId="0" borderId="1" xfId="0" applyFont="1" applyBorder="1" applyAlignment="1">
      <alignment horizontal="center" vertical="center" wrapText="1"/>
    </xf>
    <xf numFmtId="0" fontId="7" fillId="0" borderId="1" xfId="0" applyFont="1" applyBorder="1" applyAlignment="1">
      <alignment horizontal="center"/>
    </xf>
    <xf numFmtId="0" fontId="11" fillId="0" borderId="1" xfId="0" applyFont="1" applyBorder="1" applyAlignment="1">
      <alignment horizontal="center" vertical="center"/>
    </xf>
    <xf numFmtId="0" fontId="10" fillId="0" borderId="0" xfId="0" applyFont="1" applyAlignment="1">
      <alignment horizontal="center" vertical="center"/>
    </xf>
    <xf numFmtId="0" fontId="14" fillId="0" borderId="0" xfId="0" applyFont="1"/>
    <xf numFmtId="0" fontId="13" fillId="0" borderId="0" xfId="0" applyFont="1"/>
    <xf numFmtId="0" fontId="7" fillId="0" borderId="1" xfId="0" applyFont="1" applyBorder="1" applyAlignment="1">
      <alignment vertical="center"/>
    </xf>
    <xf numFmtId="0" fontId="7" fillId="0" borderId="1" xfId="0" applyFont="1" applyBorder="1" applyAlignment="1">
      <alignment horizontal="center" vertical="center"/>
    </xf>
    <xf numFmtId="0" fontId="0" fillId="0" borderId="0" xfId="0" applyAlignment="1">
      <alignment vertical="center"/>
    </xf>
    <xf numFmtId="0" fontId="17" fillId="3" borderId="14" xfId="0" applyFont="1" applyFill="1" applyBorder="1" applyAlignment="1">
      <alignment horizontal="center" vertical="center" wrapText="1"/>
    </xf>
    <xf numFmtId="0" fontId="15" fillId="3" borderId="0" xfId="0" applyFont="1" applyFill="1" applyAlignment="1">
      <alignment horizontal="center" vertical="center"/>
    </xf>
    <xf numFmtId="0" fontId="15" fillId="3" borderId="0" xfId="0" applyFont="1" applyFill="1" applyAlignment="1">
      <alignment horizontal="left" vertical="center"/>
    </xf>
    <xf numFmtId="4" fontId="16" fillId="0" borderId="1" xfId="0" applyNumberFormat="1" applyFont="1" applyBorder="1" applyAlignment="1">
      <alignment vertical="center"/>
    </xf>
    <xf numFmtId="4" fontId="16" fillId="0" borderId="6" xfId="0" applyNumberFormat="1" applyFont="1" applyBorder="1" applyAlignment="1">
      <alignment vertical="center"/>
    </xf>
    <xf numFmtId="0" fontId="16" fillId="0" borderId="1" xfId="0" applyFont="1" applyBorder="1" applyAlignment="1">
      <alignment horizontal="center" vertical="center" wrapText="1"/>
    </xf>
    <xf numFmtId="165" fontId="16" fillId="0" borderId="1" xfId="0" applyNumberFormat="1" applyFont="1" applyBorder="1" applyAlignment="1">
      <alignment vertical="center"/>
    </xf>
    <xf numFmtId="4" fontId="15" fillId="0" borderId="6" xfId="0" applyNumberFormat="1" applyFont="1" applyBorder="1" applyAlignment="1">
      <alignment vertical="center"/>
    </xf>
    <xf numFmtId="4" fontId="15" fillId="0" borderId="1" xfId="0" applyNumberFormat="1" applyFont="1" applyBorder="1" applyAlignment="1">
      <alignment vertical="center"/>
    </xf>
    <xf numFmtId="4" fontId="15" fillId="0" borderId="1" xfId="0" applyNumberFormat="1" applyFont="1" applyBorder="1" applyAlignment="1">
      <alignment horizontal="right" vertical="center"/>
    </xf>
    <xf numFmtId="0" fontId="16" fillId="0" borderId="19" xfId="0" applyFont="1" applyBorder="1" applyAlignment="1">
      <alignment vertical="center"/>
    </xf>
    <xf numFmtId="0" fontId="16" fillId="0" borderId="19" xfId="0" applyFont="1" applyBorder="1" applyAlignment="1">
      <alignment horizontal="center" vertical="center" wrapText="1"/>
    </xf>
    <xf numFmtId="0" fontId="16" fillId="0" borderId="19" xfId="0" applyFont="1" applyBorder="1" applyAlignment="1">
      <alignment horizontal="center" vertical="center"/>
    </xf>
    <xf numFmtId="0" fontId="17" fillId="3" borderId="18" xfId="0" applyFont="1" applyFill="1" applyBorder="1" applyAlignment="1">
      <alignment horizontal="center" vertical="center" wrapText="1"/>
    </xf>
    <xf numFmtId="43" fontId="17" fillId="3" borderId="14" xfId="1" applyFont="1" applyFill="1" applyBorder="1" applyAlignment="1">
      <alignment horizontal="center" vertical="center" wrapText="1"/>
    </xf>
    <xf numFmtId="4" fontId="16" fillId="0" borderId="1" xfId="0" applyNumberFormat="1" applyFont="1" applyBorder="1" applyAlignment="1">
      <alignment horizontal="center" vertical="center" wrapText="1"/>
    </xf>
    <xf numFmtId="0" fontId="16" fillId="0" borderId="11" xfId="0" applyFont="1" applyBorder="1" applyAlignment="1">
      <alignment vertical="center"/>
    </xf>
    <xf numFmtId="0" fontId="16" fillId="0" borderId="11" xfId="0" applyFont="1" applyBorder="1" applyAlignment="1">
      <alignment horizontal="center" vertical="center" wrapText="1"/>
    </xf>
    <xf numFmtId="0" fontId="16" fillId="0" borderId="11" xfId="0" applyFont="1" applyBorder="1" applyAlignment="1">
      <alignment horizontal="center" vertical="center"/>
    </xf>
    <xf numFmtId="4" fontId="16" fillId="0" borderId="11" xfId="0" applyNumberFormat="1" applyFont="1" applyBorder="1" applyAlignment="1">
      <alignment horizontal="center" vertical="center" wrapText="1"/>
    </xf>
    <xf numFmtId="4" fontId="16" fillId="0" borderId="11" xfId="0" applyNumberFormat="1" applyFont="1" applyBorder="1" applyAlignment="1">
      <alignment vertical="center"/>
    </xf>
    <xf numFmtId="4" fontId="16" fillId="0" borderId="11" xfId="0" applyNumberFormat="1" applyFont="1" applyBorder="1" applyAlignment="1">
      <alignment vertical="center" wrapText="1"/>
    </xf>
    <xf numFmtId="4" fontId="15" fillId="0" borderId="12" xfId="0" applyNumberFormat="1" applyFont="1" applyBorder="1" applyAlignment="1">
      <alignment vertical="center"/>
    </xf>
    <xf numFmtId="0" fontId="16" fillId="0" borderId="17" xfId="0" applyFont="1" applyBorder="1" applyAlignment="1">
      <alignment vertical="center"/>
    </xf>
    <xf numFmtId="0" fontId="16" fillId="0" borderId="1" xfId="0" applyFont="1" applyBorder="1" applyAlignment="1">
      <alignment horizontal="center" vertical="center"/>
    </xf>
    <xf numFmtId="0" fontId="16" fillId="0" borderId="6" xfId="0" applyFont="1" applyBorder="1" applyAlignment="1">
      <alignment horizontal="center" vertical="center" wrapText="1"/>
    </xf>
    <xf numFmtId="0" fontId="16" fillId="0" borderId="17" xfId="0" applyFont="1" applyBorder="1" applyAlignment="1">
      <alignment horizontal="center" vertical="center" wrapText="1"/>
    </xf>
    <xf numFmtId="0" fontId="16" fillId="0" borderId="17" xfId="0" applyFont="1" applyBorder="1" applyAlignment="1">
      <alignment horizontal="center" vertical="center"/>
    </xf>
    <xf numFmtId="4" fontId="16" fillId="0" borderId="17" xfId="0" applyNumberFormat="1" applyFont="1" applyBorder="1" applyAlignment="1">
      <alignment horizontal="center" vertical="center" wrapText="1"/>
    </xf>
    <xf numFmtId="4" fontId="16" fillId="0" borderId="17" xfId="0" applyNumberFormat="1" applyFont="1" applyBorder="1" applyAlignment="1">
      <alignment vertical="center"/>
    </xf>
    <xf numFmtId="4" fontId="15" fillId="0" borderId="16" xfId="0" applyNumberFormat="1" applyFont="1" applyBorder="1" applyAlignment="1">
      <alignment vertical="center"/>
    </xf>
    <xf numFmtId="0" fontId="16" fillId="0" borderId="1" xfId="0" applyFont="1" applyBorder="1" applyAlignment="1">
      <alignment vertical="center"/>
    </xf>
    <xf numFmtId="16" fontId="16" fillId="0" borderId="1" xfId="0" quotePrefix="1" applyNumberFormat="1" applyFont="1" applyBorder="1" applyAlignment="1">
      <alignment horizontal="center" vertical="center" wrapText="1"/>
    </xf>
    <xf numFmtId="0" fontId="16" fillId="0" borderId="6" xfId="0" applyFont="1" applyBorder="1" applyAlignment="1">
      <alignment vertical="center"/>
    </xf>
    <xf numFmtId="0" fontId="16" fillId="0" borderId="6" xfId="0" applyFont="1" applyBorder="1" applyAlignment="1">
      <alignment horizontal="center" vertical="center"/>
    </xf>
    <xf numFmtId="4" fontId="16" fillId="0" borderId="6" xfId="0" applyNumberFormat="1" applyFont="1" applyBorder="1" applyAlignment="1">
      <alignment horizontal="center" vertical="center" wrapText="1"/>
    </xf>
    <xf numFmtId="43" fontId="17" fillId="3" borderId="15" xfId="1" applyFont="1" applyFill="1" applyBorder="1" applyAlignment="1">
      <alignment horizontal="center" vertical="center" wrapText="1"/>
    </xf>
    <xf numFmtId="0" fontId="16" fillId="0" borderId="13" xfId="0" applyFont="1" applyBorder="1" applyAlignment="1">
      <alignment horizontal="center" vertical="center"/>
    </xf>
    <xf numFmtId="0" fontId="16" fillId="0" borderId="13" xfId="0" applyFont="1" applyBorder="1" applyAlignment="1">
      <alignment horizontal="center" vertical="center" wrapText="1"/>
    </xf>
    <xf numFmtId="4" fontId="16" fillId="0" borderId="13" xfId="0" applyNumberFormat="1" applyFont="1" applyBorder="1" applyAlignment="1">
      <alignment horizontal="center" vertical="center" wrapText="1"/>
    </xf>
    <xf numFmtId="4" fontId="16" fillId="0" borderId="13" xfId="0" applyNumberFormat="1" applyFont="1" applyBorder="1" applyAlignment="1">
      <alignment vertical="center"/>
    </xf>
    <xf numFmtId="4" fontId="15" fillId="0" borderId="21" xfId="0" applyNumberFormat="1" applyFont="1" applyBorder="1" applyAlignment="1">
      <alignment vertical="center"/>
    </xf>
    <xf numFmtId="16" fontId="16" fillId="0" borderId="20" xfId="0" quotePrefix="1" applyNumberFormat="1" applyFont="1" applyBorder="1" applyAlignment="1">
      <alignment horizontal="center" vertical="center" wrapText="1"/>
    </xf>
    <xf numFmtId="0" fontId="19" fillId="0" borderId="2" xfId="0" applyFont="1" applyBorder="1" applyAlignment="1">
      <alignment horizontal="left" vertical="center" wrapText="1"/>
    </xf>
    <xf numFmtId="0" fontId="19" fillId="0" borderId="3" xfId="0" applyFont="1" applyBorder="1" applyAlignment="1">
      <alignment horizontal="left" vertical="center" wrapText="1"/>
    </xf>
    <xf numFmtId="43" fontId="17" fillId="3" borderId="18" xfId="1" applyFont="1" applyFill="1" applyBorder="1" applyAlignment="1">
      <alignment horizontal="center" vertical="center" wrapText="1"/>
    </xf>
    <xf numFmtId="43" fontId="17" fillId="3" borderId="0" xfId="1" applyFont="1" applyFill="1" applyBorder="1" applyAlignment="1">
      <alignment horizontal="center" vertical="center" wrapText="1"/>
    </xf>
    <xf numFmtId="4" fontId="16" fillId="0" borderId="24" xfId="0" applyNumberFormat="1" applyFont="1" applyBorder="1" applyAlignment="1">
      <alignment vertical="center"/>
    </xf>
    <xf numFmtId="4" fontId="16" fillId="0" borderId="2" xfId="0" applyNumberFormat="1" applyFont="1" applyBorder="1" applyAlignment="1">
      <alignment vertical="center"/>
    </xf>
    <xf numFmtId="4" fontId="16" fillId="0" borderId="22" xfId="0" applyNumberFormat="1" applyFont="1" applyBorder="1" applyAlignment="1">
      <alignment vertical="center"/>
    </xf>
    <xf numFmtId="4" fontId="16" fillId="0" borderId="25" xfId="0" applyNumberFormat="1" applyFont="1" applyBorder="1" applyAlignment="1">
      <alignment vertical="center"/>
    </xf>
    <xf numFmtId="0" fontId="18" fillId="0" borderId="0" xfId="0" applyFont="1"/>
    <xf numFmtId="4" fontId="18" fillId="0" borderId="0" xfId="0" applyNumberFormat="1" applyFont="1"/>
    <xf numFmtId="0" fontId="16" fillId="0" borderId="0" xfId="0" applyFont="1" applyAlignment="1">
      <alignment vertical="center"/>
    </xf>
    <xf numFmtId="0" fontId="16" fillId="0" borderId="0" xfId="0" applyFont="1" applyAlignment="1">
      <alignment horizontal="center" vertical="center" wrapText="1"/>
    </xf>
    <xf numFmtId="0" fontId="16" fillId="0" borderId="0" xfId="0" applyFont="1" applyAlignment="1">
      <alignment horizontal="center" vertical="center"/>
    </xf>
    <xf numFmtId="4" fontId="10" fillId="0" borderId="0" xfId="0" applyNumberFormat="1" applyFont="1"/>
    <xf numFmtId="0" fontId="15" fillId="0" borderId="0" xfId="0" applyFont="1" applyAlignment="1">
      <alignment horizontal="center" vertical="center"/>
    </xf>
    <xf numFmtId="0" fontId="15" fillId="0" borderId="0" xfId="0" applyFont="1" applyAlignment="1">
      <alignment horizontal="left" vertical="center"/>
    </xf>
    <xf numFmtId="44" fontId="10" fillId="0" borderId="0" xfId="2" applyFont="1" applyFill="1"/>
    <xf numFmtId="44" fontId="0" fillId="0" borderId="0" xfId="0" applyNumberFormat="1"/>
    <xf numFmtId="4" fontId="16" fillId="0" borderId="26" xfId="0" applyNumberFormat="1" applyFont="1" applyBorder="1" applyAlignment="1">
      <alignment vertical="center"/>
    </xf>
    <xf numFmtId="0" fontId="16" fillId="0" borderId="27" xfId="0" applyFont="1" applyBorder="1" applyAlignment="1">
      <alignment horizontal="center" vertical="center"/>
    </xf>
    <xf numFmtId="0" fontId="16" fillId="0" borderId="27" xfId="0" applyFont="1" applyBorder="1" applyAlignment="1">
      <alignment horizontal="center" vertical="center" wrapText="1"/>
    </xf>
    <xf numFmtId="16" fontId="16" fillId="0" borderId="9" xfId="0" quotePrefix="1" applyNumberFormat="1" applyFont="1" applyBorder="1" applyAlignment="1">
      <alignment horizontal="center" vertical="center" wrapText="1"/>
    </xf>
    <xf numFmtId="4" fontId="16" fillId="0" borderId="27" xfId="0" applyNumberFormat="1" applyFont="1" applyBorder="1" applyAlignment="1">
      <alignment horizontal="center" vertical="center" wrapText="1"/>
    </xf>
    <xf numFmtId="4" fontId="16" fillId="0" borderId="27" xfId="0" applyNumberFormat="1" applyFont="1" applyBorder="1" applyAlignment="1">
      <alignment vertical="center"/>
    </xf>
    <xf numFmtId="4" fontId="15" fillId="0" borderId="28" xfId="0" applyNumberFormat="1" applyFont="1" applyBorder="1" applyAlignment="1">
      <alignment vertical="center"/>
    </xf>
    <xf numFmtId="16" fontId="16" fillId="0" borderId="4" xfId="0" quotePrefix="1" applyNumberFormat="1" applyFont="1" applyBorder="1" applyAlignment="1">
      <alignment horizontal="center" vertical="center" wrapText="1"/>
    </xf>
    <xf numFmtId="4" fontId="16" fillId="0" borderId="3" xfId="0" applyNumberFormat="1" applyFont="1" applyBorder="1" applyAlignment="1">
      <alignment vertical="center"/>
    </xf>
    <xf numFmtId="0" fontId="0" fillId="0" borderId="6" xfId="0" applyBorder="1"/>
    <xf numFmtId="4" fontId="0" fillId="0" borderId="6" xfId="0" applyNumberFormat="1" applyBorder="1"/>
    <xf numFmtId="16" fontId="16" fillId="0" borderId="17" xfId="0" quotePrefix="1" applyNumberFormat="1" applyFont="1" applyBorder="1" applyAlignment="1">
      <alignment horizontal="center" vertical="center" wrapText="1"/>
    </xf>
    <xf numFmtId="43" fontId="17" fillId="3" borderId="29" xfId="1" applyFont="1" applyFill="1" applyBorder="1" applyAlignment="1">
      <alignment horizontal="center" vertical="center" wrapText="1"/>
    </xf>
    <xf numFmtId="0" fontId="16" fillId="0" borderId="4" xfId="0" applyFont="1" applyBorder="1" applyAlignment="1">
      <alignment vertical="center"/>
    </xf>
    <xf numFmtId="165" fontId="16" fillId="0" borderId="27" xfId="0" applyNumberFormat="1" applyFont="1" applyBorder="1" applyAlignment="1">
      <alignment vertical="center"/>
    </xf>
    <xf numFmtId="0" fontId="22" fillId="0" borderId="11" xfId="0" applyFont="1" applyBorder="1" applyAlignment="1">
      <alignment vertical="center"/>
    </xf>
    <xf numFmtId="0" fontId="22" fillId="0" borderId="2" xfId="0" applyFont="1" applyBorder="1" applyAlignment="1">
      <alignment vertical="center" wrapText="1"/>
    </xf>
    <xf numFmtId="0" fontId="22" fillId="0" borderId="13" xfId="0" applyFont="1" applyBorder="1" applyAlignment="1">
      <alignment vertical="center" wrapText="1"/>
    </xf>
    <xf numFmtId="0" fontId="23" fillId="0" borderId="30" xfId="0" applyFont="1" applyBorder="1" applyAlignment="1">
      <alignment horizontal="center" vertical="center" wrapText="1"/>
    </xf>
    <xf numFmtId="0" fontId="23" fillId="0" borderId="31" xfId="0" applyFont="1" applyBorder="1" applyAlignment="1">
      <alignment horizontal="center" vertical="center" wrapText="1"/>
    </xf>
    <xf numFmtId="0" fontId="23" fillId="0" borderId="32" xfId="0" applyFont="1" applyBorder="1" applyAlignment="1">
      <alignment horizontal="center" vertical="center" wrapText="1"/>
    </xf>
    <xf numFmtId="0" fontId="24" fillId="0" borderId="10" xfId="0" applyFont="1" applyBorder="1" applyAlignment="1">
      <alignment horizontal="justify" vertical="center" wrapText="1"/>
    </xf>
    <xf numFmtId="0" fontId="24" fillId="0" borderId="10" xfId="0" applyFont="1" applyBorder="1" applyAlignment="1">
      <alignment horizontal="center" vertical="center" wrapText="1"/>
    </xf>
    <xf numFmtId="8" fontId="24" fillId="0" borderId="10" xfId="0" applyNumberFormat="1" applyFont="1" applyBorder="1" applyAlignment="1">
      <alignment horizontal="justify" vertical="center" wrapText="1"/>
    </xf>
    <xf numFmtId="4" fontId="24" fillId="0" borderId="10" xfId="0" applyNumberFormat="1" applyFont="1" applyBorder="1" applyAlignment="1">
      <alignment horizontal="justify" vertical="center" wrapText="1"/>
    </xf>
    <xf numFmtId="8" fontId="23" fillId="0" borderId="10" xfId="0" applyNumberFormat="1" applyFont="1" applyBorder="1" applyAlignment="1">
      <alignment horizontal="center" vertical="center" wrapText="1"/>
    </xf>
    <xf numFmtId="0" fontId="23" fillId="0" borderId="33" xfId="0" applyFont="1" applyBorder="1" applyAlignment="1">
      <alignment horizontal="justify" vertical="center" wrapText="1"/>
    </xf>
    <xf numFmtId="0" fontId="23" fillId="0" borderId="34" xfId="0" applyFont="1" applyBorder="1" applyAlignment="1">
      <alignment horizontal="justify" vertical="center" wrapText="1"/>
    </xf>
    <xf numFmtId="0" fontId="23" fillId="0" borderId="31" xfId="0" applyFont="1" applyBorder="1" applyAlignment="1">
      <alignment horizontal="justify" vertical="center" wrapText="1"/>
    </xf>
    <xf numFmtId="0" fontId="26" fillId="0" borderId="0" xfId="0" applyFont="1"/>
    <xf numFmtId="4" fontId="7" fillId="0" borderId="0" xfId="0" applyNumberFormat="1" applyFont="1"/>
    <xf numFmtId="0" fontId="16" fillId="0" borderId="27" xfId="0" applyFont="1" applyBorder="1" applyAlignment="1">
      <alignment vertical="center"/>
    </xf>
    <xf numFmtId="0" fontId="22" fillId="0" borderId="1" xfId="0" applyFont="1" applyBorder="1" applyAlignment="1">
      <alignment vertical="center" wrapText="1"/>
    </xf>
    <xf numFmtId="4" fontId="0" fillId="0" borderId="2" xfId="0" applyNumberFormat="1" applyBorder="1"/>
    <xf numFmtId="4" fontId="0" fillId="0" borderId="3" xfId="0" applyNumberFormat="1" applyBorder="1"/>
    <xf numFmtId="0" fontId="0" fillId="0" borderId="2" xfId="0" applyBorder="1"/>
    <xf numFmtId="0" fontId="0" fillId="0" borderId="3" xfId="0" applyBorder="1"/>
    <xf numFmtId="0" fontId="0" fillId="0" borderId="4" xfId="0" applyBorder="1"/>
    <xf numFmtId="0" fontId="28" fillId="5" borderId="35" xfId="0" applyFont="1" applyFill="1" applyBorder="1" applyAlignment="1">
      <alignment horizontal="center" vertical="center" wrapText="1"/>
    </xf>
    <xf numFmtId="0" fontId="0" fillId="5" borderId="7" xfId="0" applyFill="1" applyBorder="1" applyAlignment="1">
      <alignment horizontal="center" vertical="center" wrapText="1"/>
    </xf>
    <xf numFmtId="0" fontId="0" fillId="5" borderId="8" xfId="0" applyFill="1" applyBorder="1" applyAlignment="1">
      <alignment horizontal="center" vertical="center" wrapText="1"/>
    </xf>
    <xf numFmtId="0" fontId="0" fillId="5" borderId="36" xfId="0" applyFill="1" applyBorder="1" applyAlignment="1">
      <alignment horizontal="center" vertical="center" wrapText="1"/>
    </xf>
    <xf numFmtId="0" fontId="0" fillId="5" borderId="0" xfId="0" applyFill="1" applyAlignment="1">
      <alignment horizontal="center" vertical="center" wrapText="1"/>
    </xf>
    <xf numFmtId="0" fontId="0" fillId="5" borderId="37" xfId="0" applyFill="1" applyBorder="1" applyAlignment="1">
      <alignment horizontal="center" vertical="center" wrapText="1"/>
    </xf>
    <xf numFmtId="0" fontId="0" fillId="5" borderId="38" xfId="0" applyFill="1" applyBorder="1" applyAlignment="1">
      <alignment horizontal="center" vertical="center" wrapText="1"/>
    </xf>
    <xf numFmtId="0" fontId="0" fillId="5" borderId="9" xfId="0" applyFill="1" applyBorder="1" applyAlignment="1">
      <alignment horizontal="center" vertical="center" wrapText="1"/>
    </xf>
    <xf numFmtId="0" fontId="0" fillId="5" borderId="10" xfId="0" applyFill="1" applyBorder="1" applyAlignment="1">
      <alignment horizontal="center" vertical="center" wrapText="1"/>
    </xf>
    <xf numFmtId="0" fontId="15" fillId="3" borderId="0" xfId="0" applyFont="1" applyFill="1" applyAlignment="1">
      <alignment horizontal="center" vertical="center"/>
    </xf>
    <xf numFmtId="0" fontId="15" fillId="3" borderId="5" xfId="0" applyFont="1" applyFill="1" applyBorder="1" applyAlignment="1">
      <alignment horizontal="center" vertical="center"/>
    </xf>
    <xf numFmtId="0" fontId="19" fillId="0" borderId="2" xfId="0" applyFont="1" applyBorder="1" applyAlignment="1">
      <alignment horizontal="left" vertical="center" wrapText="1"/>
    </xf>
    <xf numFmtId="0" fontId="19" fillId="0" borderId="3" xfId="0" applyFont="1" applyBorder="1" applyAlignment="1">
      <alignment horizontal="left" vertical="center" wrapText="1"/>
    </xf>
    <xf numFmtId="0" fontId="19" fillId="3" borderId="2" xfId="0" applyFont="1" applyFill="1" applyBorder="1" applyAlignment="1">
      <alignment horizontal="left" vertical="center" wrapText="1"/>
    </xf>
    <xf numFmtId="0" fontId="19" fillId="3" borderId="3" xfId="0" applyFont="1" applyFill="1" applyBorder="1" applyAlignment="1">
      <alignment horizontal="left" vertical="center" wrapText="1"/>
    </xf>
    <xf numFmtId="0" fontId="15" fillId="3" borderId="2" xfId="0" applyFont="1" applyFill="1" applyBorder="1" applyAlignment="1">
      <alignment horizontal="right" vertical="center" wrapText="1"/>
    </xf>
    <xf numFmtId="0" fontId="15" fillId="3" borderId="4" xfId="0" applyFont="1" applyFill="1" applyBorder="1" applyAlignment="1">
      <alignment horizontal="right" vertical="center" wrapText="1"/>
    </xf>
    <xf numFmtId="0" fontId="15" fillId="3" borderId="3" xfId="0" applyFont="1" applyFill="1" applyBorder="1" applyAlignment="1">
      <alignment horizontal="right" vertical="center" wrapText="1"/>
    </xf>
    <xf numFmtId="0" fontId="15" fillId="4" borderId="7" xfId="0" applyFont="1" applyFill="1" applyBorder="1" applyAlignment="1">
      <alignment horizontal="center" vertical="center"/>
    </xf>
    <xf numFmtId="0" fontId="15" fillId="4" borderId="8" xfId="0" applyFont="1" applyFill="1" applyBorder="1" applyAlignment="1">
      <alignment horizontal="center" vertical="center"/>
    </xf>
    <xf numFmtId="0" fontId="15" fillId="4" borderId="9" xfId="0" applyFont="1" applyFill="1" applyBorder="1" applyAlignment="1">
      <alignment horizontal="center" vertical="center"/>
    </xf>
    <xf numFmtId="0" fontId="15" fillId="4" borderId="10" xfId="0" applyFont="1" applyFill="1" applyBorder="1" applyAlignment="1">
      <alignment horizontal="center" vertical="center"/>
    </xf>
    <xf numFmtId="0" fontId="15" fillId="4" borderId="0" xfId="0" applyFont="1" applyFill="1" applyAlignment="1">
      <alignment horizontal="center" vertical="center"/>
    </xf>
    <xf numFmtId="0" fontId="16" fillId="0" borderId="22" xfId="0" applyFont="1" applyBorder="1" applyAlignment="1">
      <alignment horizontal="left" vertical="center" wrapText="1"/>
    </xf>
    <xf numFmtId="0" fontId="16" fillId="0" borderId="23" xfId="0" applyFont="1" applyBorder="1" applyAlignment="1">
      <alignment horizontal="left" vertical="center" wrapText="1"/>
    </xf>
    <xf numFmtId="0" fontId="15" fillId="0" borderId="0" xfId="0" applyFont="1" applyAlignment="1">
      <alignment horizontal="center" vertical="center"/>
    </xf>
    <xf numFmtId="0" fontId="15" fillId="0" borderId="5" xfId="0" applyFont="1" applyBorder="1" applyAlignment="1">
      <alignment horizontal="center" vertical="center"/>
    </xf>
    <xf numFmtId="0" fontId="15" fillId="0" borderId="2" xfId="0" applyFont="1" applyBorder="1" applyAlignment="1">
      <alignment horizontal="right" vertical="center" wrapText="1"/>
    </xf>
    <xf numFmtId="0" fontId="15" fillId="0" borderId="4" xfId="0" applyFont="1" applyBorder="1" applyAlignment="1">
      <alignment horizontal="right" vertical="center" wrapText="1"/>
    </xf>
    <xf numFmtId="0" fontId="15" fillId="0" borderId="3" xfId="0" applyFont="1" applyBorder="1" applyAlignment="1">
      <alignment horizontal="right" vertical="center" wrapText="1"/>
    </xf>
  </cellXfs>
  <cellStyles count="3">
    <cellStyle name="Migliaia" xfId="1" builtinId="3"/>
    <cellStyle name="Normale" xfId="0" builtinId="0"/>
    <cellStyle name="Valuta" xfId="2" builtinId="4"/>
  </cellStyles>
  <dxfs count="0"/>
  <tableStyles count="0" defaultTableStyle="TableStyleMedium2" defaultPivotStyle="PivotStyleLight16"/>
  <colors>
    <mruColors>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2013 - Tema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30"/>
  <sheetViews>
    <sheetView workbookViewId="0">
      <selection activeCell="M30" sqref="M30"/>
    </sheetView>
  </sheetViews>
  <sheetFormatPr defaultColWidth="8.85546875" defaultRowHeight="15" x14ac:dyDescent="0.25"/>
  <cols>
    <col min="1" max="2" width="41.28515625" customWidth="1"/>
    <col min="3" max="3" width="10.42578125" bestFit="1" customWidth="1"/>
    <col min="4" max="7" width="10.42578125" customWidth="1"/>
    <col min="8" max="8" width="11.28515625" customWidth="1"/>
    <col min="9" max="9" width="9.42578125" customWidth="1"/>
    <col min="10" max="11" width="10.42578125" customWidth="1"/>
    <col min="12" max="12" width="8.85546875" style="9"/>
    <col min="13" max="13" width="16.140625" customWidth="1"/>
  </cols>
  <sheetData>
    <row r="1" spans="1:16" x14ac:dyDescent="0.25">
      <c r="A1" s="2" t="s">
        <v>0</v>
      </c>
      <c r="B1" s="2" t="s">
        <v>1</v>
      </c>
      <c r="C1" s="3"/>
      <c r="D1" s="3" t="s">
        <v>30</v>
      </c>
      <c r="E1" s="3" t="s">
        <v>31</v>
      </c>
      <c r="F1" s="3"/>
      <c r="G1" s="3" t="s">
        <v>29</v>
      </c>
      <c r="H1" s="3" t="s">
        <v>23</v>
      </c>
      <c r="I1" s="3" t="s">
        <v>24</v>
      </c>
      <c r="J1" s="3" t="s">
        <v>25</v>
      </c>
      <c r="K1" s="3" t="s">
        <v>36</v>
      </c>
      <c r="L1" s="8"/>
      <c r="M1" s="3"/>
    </row>
    <row r="2" spans="1:16" x14ac:dyDescent="0.25">
      <c r="A2" s="2" t="s">
        <v>28</v>
      </c>
      <c r="B2" s="2">
        <f>17970.54/12</f>
        <v>1497.5450000000001</v>
      </c>
      <c r="C2" s="6">
        <f>B2*13</f>
        <v>19468.084999999999</v>
      </c>
      <c r="D2" s="6">
        <f>32.4*12</f>
        <v>388.79999999999995</v>
      </c>
      <c r="E2" s="6"/>
      <c r="F2" s="6">
        <f>E2*13</f>
        <v>0</v>
      </c>
      <c r="G2" s="6">
        <f>C2*0.085</f>
        <v>1654.787225</v>
      </c>
      <c r="H2" s="6">
        <f t="shared" ref="H2:H26" si="0">C2*0.238</f>
        <v>4633.4042299999992</v>
      </c>
      <c r="I2" s="6">
        <f t="shared" ref="I2:I23" si="1">C2*0.8*0.036</f>
        <v>560.68084799999997</v>
      </c>
      <c r="J2" s="6">
        <f t="shared" ref="J2" si="2">C2*0.8*0.061</f>
        <v>950.04254800000001</v>
      </c>
      <c r="K2" s="6">
        <f>(C2*22/1000)+(1%*(C2*22/1000))</f>
        <v>432.58084869999999</v>
      </c>
      <c r="L2" s="8"/>
      <c r="M2" s="6">
        <f>L2*(J2+I2+H2+C2+D2+F2+K2)</f>
        <v>0</v>
      </c>
    </row>
    <row r="3" spans="1:16" x14ac:dyDescent="0.25">
      <c r="A3" s="4" t="s">
        <v>2</v>
      </c>
      <c r="B3" s="5">
        <v>1502.84</v>
      </c>
      <c r="C3" s="6">
        <f>B3*13</f>
        <v>19536.919999999998</v>
      </c>
      <c r="D3" s="6">
        <f t="shared" ref="D3:D9" si="3">39.31*12</f>
        <v>471.72</v>
      </c>
      <c r="E3" s="6">
        <v>10.52</v>
      </c>
      <c r="F3" s="6">
        <f t="shared" ref="F3:F26" si="4">E3*13</f>
        <v>136.76</v>
      </c>
      <c r="G3" s="6">
        <f t="shared" ref="G3:G26" si="5">C3*0.085</f>
        <v>1660.6381999999999</v>
      </c>
      <c r="H3" s="6">
        <f>C3*0.238</f>
        <v>4649.7869599999995</v>
      </c>
      <c r="I3" s="6"/>
      <c r="J3" s="6">
        <f>C3*0.8*0.061</f>
        <v>953.40169600000002</v>
      </c>
      <c r="K3" s="6">
        <f t="shared" ref="K3:K10" si="6">(C3*22/1000)+(1%*(C3*22/1000))</f>
        <v>434.11036239999999</v>
      </c>
      <c r="L3" s="8">
        <v>1</v>
      </c>
      <c r="M3" s="6">
        <f t="shared" ref="M3:M23" si="7">L3*(J3+I3+H3+C3+D3+F3+K3)</f>
        <v>26182.699018399995</v>
      </c>
      <c r="P3" s="1"/>
    </row>
    <row r="4" spans="1:16" x14ac:dyDescent="0.25">
      <c r="A4" s="4" t="s">
        <v>3</v>
      </c>
      <c r="B4" s="5">
        <v>1527.83</v>
      </c>
      <c r="C4" s="6">
        <f t="shared" ref="C4:C23" si="8">B4*13</f>
        <v>19861.79</v>
      </c>
      <c r="D4" s="6">
        <f t="shared" si="3"/>
        <v>471.72</v>
      </c>
      <c r="E4" s="6">
        <v>10.69</v>
      </c>
      <c r="F4" s="6">
        <f t="shared" si="4"/>
        <v>138.97</v>
      </c>
      <c r="G4" s="6">
        <f t="shared" si="5"/>
        <v>1688.2521500000003</v>
      </c>
      <c r="H4" s="6">
        <f t="shared" si="0"/>
        <v>4727.1060200000002</v>
      </c>
      <c r="I4" s="6">
        <f t="shared" si="1"/>
        <v>572.01955199999998</v>
      </c>
      <c r="J4" s="6">
        <f t="shared" ref="J4:J23" si="9">C4*0.8*0.061</f>
        <v>969.25535200000002</v>
      </c>
      <c r="K4" s="6">
        <f t="shared" si="6"/>
        <v>441.32897380000003</v>
      </c>
      <c r="L4" s="8"/>
      <c r="M4" s="6">
        <f t="shared" si="7"/>
        <v>0</v>
      </c>
    </row>
    <row r="5" spans="1:16" x14ac:dyDescent="0.25">
      <c r="A5" s="4" t="s">
        <v>4</v>
      </c>
      <c r="B5" s="5">
        <v>1588.65</v>
      </c>
      <c r="C5" s="6">
        <f t="shared" si="8"/>
        <v>20652.45</v>
      </c>
      <c r="D5" s="6">
        <f t="shared" si="3"/>
        <v>471.72</v>
      </c>
      <c r="E5" s="6">
        <v>11.12</v>
      </c>
      <c r="F5" s="6">
        <f t="shared" si="4"/>
        <v>144.56</v>
      </c>
      <c r="G5" s="6">
        <f t="shared" si="5"/>
        <v>1755.4582500000001</v>
      </c>
      <c r="H5" s="6">
        <f t="shared" si="0"/>
        <v>4915.2830999999996</v>
      </c>
      <c r="I5" s="6">
        <f t="shared" si="1"/>
        <v>594.79056000000003</v>
      </c>
      <c r="J5" s="6"/>
      <c r="K5" s="6">
        <f t="shared" si="6"/>
        <v>458.89743900000002</v>
      </c>
      <c r="L5" s="8">
        <v>1</v>
      </c>
      <c r="M5" s="6">
        <f t="shared" si="7"/>
        <v>27237.701099000002</v>
      </c>
    </row>
    <row r="6" spans="1:16" x14ac:dyDescent="0.25">
      <c r="A6" s="4" t="s">
        <v>5</v>
      </c>
      <c r="B6" s="5">
        <v>1611.94</v>
      </c>
      <c r="C6" s="6">
        <f t="shared" si="8"/>
        <v>20955.22</v>
      </c>
      <c r="D6" s="6">
        <f t="shared" si="3"/>
        <v>471.72</v>
      </c>
      <c r="E6" s="6">
        <v>11.28</v>
      </c>
      <c r="F6" s="6">
        <f t="shared" si="4"/>
        <v>146.63999999999999</v>
      </c>
      <c r="G6" s="6">
        <f t="shared" si="5"/>
        <v>1781.1937000000003</v>
      </c>
      <c r="H6" s="6">
        <f t="shared" si="0"/>
        <v>4987.3423599999996</v>
      </c>
      <c r="I6" s="6">
        <f t="shared" si="1"/>
        <v>603.51033600000005</v>
      </c>
      <c r="J6" s="6">
        <f t="shared" si="9"/>
        <v>1022.6147360000002</v>
      </c>
      <c r="K6" s="6">
        <f t="shared" si="6"/>
        <v>465.62498840000006</v>
      </c>
      <c r="L6" s="8"/>
      <c r="M6" s="6">
        <f t="shared" si="7"/>
        <v>0</v>
      </c>
    </row>
    <row r="7" spans="1:16" x14ac:dyDescent="0.25">
      <c r="A7" s="4" t="s">
        <v>6</v>
      </c>
      <c r="B7" s="5">
        <v>1639.16</v>
      </c>
      <c r="C7" s="6">
        <f t="shared" si="8"/>
        <v>21309.08</v>
      </c>
      <c r="D7" s="6">
        <f t="shared" si="3"/>
        <v>471.72</v>
      </c>
      <c r="E7" s="6">
        <v>11.47</v>
      </c>
      <c r="F7" s="6">
        <f t="shared" si="4"/>
        <v>149.11000000000001</v>
      </c>
      <c r="G7" s="6">
        <f t="shared" si="5"/>
        <v>1811.2718000000002</v>
      </c>
      <c r="H7" s="6">
        <f t="shared" si="0"/>
        <v>5071.5610400000005</v>
      </c>
      <c r="I7" s="6">
        <f t="shared" si="1"/>
        <v>613.701504</v>
      </c>
      <c r="J7" s="6">
        <f t="shared" si="9"/>
        <v>1039.8831040000002</v>
      </c>
      <c r="K7" s="6">
        <f t="shared" si="6"/>
        <v>473.48775760000001</v>
      </c>
      <c r="L7" s="8"/>
      <c r="M7" s="6">
        <f t="shared" si="7"/>
        <v>0</v>
      </c>
    </row>
    <row r="8" spans="1:16" x14ac:dyDescent="0.25">
      <c r="A8" s="4" t="s">
        <v>7</v>
      </c>
      <c r="B8" s="5">
        <v>1668.26</v>
      </c>
      <c r="C8" s="6">
        <f t="shared" si="8"/>
        <v>21687.38</v>
      </c>
      <c r="D8" s="6">
        <f t="shared" si="3"/>
        <v>471.72</v>
      </c>
      <c r="E8" s="6">
        <v>11.68</v>
      </c>
      <c r="F8" s="6">
        <f t="shared" si="4"/>
        <v>151.84</v>
      </c>
      <c r="G8" s="6">
        <f t="shared" si="5"/>
        <v>1843.4273000000003</v>
      </c>
      <c r="H8" s="6">
        <f t="shared" si="0"/>
        <v>5161.5964400000003</v>
      </c>
      <c r="I8" s="6">
        <f t="shared" si="1"/>
        <v>624.59654399999999</v>
      </c>
      <c r="J8" s="6">
        <f t="shared" si="9"/>
        <v>1058.3441440000001</v>
      </c>
      <c r="K8" s="6">
        <f>(C8*22/1000)+(1%*(C8*22/1000))</f>
        <v>481.89358360000006</v>
      </c>
      <c r="L8" s="8"/>
      <c r="M8" s="6">
        <f t="shared" si="7"/>
        <v>0</v>
      </c>
    </row>
    <row r="9" spans="1:16" x14ac:dyDescent="0.25">
      <c r="A9" s="4" t="s">
        <v>8</v>
      </c>
      <c r="B9" s="5">
        <v>1732.35</v>
      </c>
      <c r="C9" s="6">
        <f t="shared" si="8"/>
        <v>22520.55</v>
      </c>
      <c r="D9" s="6">
        <f t="shared" si="3"/>
        <v>471.72</v>
      </c>
      <c r="E9" s="6">
        <v>12.13</v>
      </c>
      <c r="F9" s="6">
        <f t="shared" si="4"/>
        <v>157.69</v>
      </c>
      <c r="G9" s="6">
        <f t="shared" si="5"/>
        <v>1914.24675</v>
      </c>
      <c r="H9" s="6">
        <f t="shared" si="0"/>
        <v>5359.8908999999994</v>
      </c>
      <c r="I9" s="6">
        <f t="shared" si="1"/>
        <v>648.59183999999993</v>
      </c>
      <c r="J9" s="6">
        <f t="shared" si="9"/>
        <v>1099.0028399999999</v>
      </c>
      <c r="K9" s="6">
        <f t="shared" si="6"/>
        <v>500.40662099999997</v>
      </c>
      <c r="L9" s="8"/>
      <c r="M9" s="6">
        <f t="shared" si="7"/>
        <v>0</v>
      </c>
    </row>
    <row r="10" spans="1:16" x14ac:dyDescent="0.25">
      <c r="A10" s="4" t="s">
        <v>9</v>
      </c>
      <c r="B10" s="5">
        <v>1770.69</v>
      </c>
      <c r="C10" s="6">
        <f t="shared" si="8"/>
        <v>23018.97</v>
      </c>
      <c r="D10" s="6">
        <f>39.31*12</f>
        <v>471.72</v>
      </c>
      <c r="E10" s="6">
        <v>12.39</v>
      </c>
      <c r="F10" s="6">
        <f t="shared" si="4"/>
        <v>161.07</v>
      </c>
      <c r="G10" s="6">
        <f t="shared" si="5"/>
        <v>1956.6124500000003</v>
      </c>
      <c r="H10" s="6">
        <f t="shared" si="0"/>
        <v>5478.5148600000002</v>
      </c>
      <c r="I10" s="6">
        <f t="shared" si="1"/>
        <v>662.94633600000009</v>
      </c>
      <c r="J10" s="6">
        <f t="shared" si="9"/>
        <v>1123.3257360000002</v>
      </c>
      <c r="K10" s="6">
        <f t="shared" si="6"/>
        <v>511.48151340000004</v>
      </c>
      <c r="L10" s="8"/>
      <c r="M10" s="6">
        <f t="shared" si="7"/>
        <v>0</v>
      </c>
    </row>
    <row r="11" spans="1:16" x14ac:dyDescent="0.25">
      <c r="A11" s="4" t="s">
        <v>10</v>
      </c>
      <c r="B11" s="5">
        <v>1695.34</v>
      </c>
      <c r="C11" s="6">
        <f t="shared" si="8"/>
        <v>22039.42</v>
      </c>
      <c r="D11" s="6">
        <f t="shared" ref="D11:D15" si="10">45.8*12</f>
        <v>549.59999999999991</v>
      </c>
      <c r="E11" s="6">
        <v>11.87</v>
      </c>
      <c r="F11" s="6">
        <f t="shared" si="4"/>
        <v>154.31</v>
      </c>
      <c r="G11" s="6">
        <f t="shared" si="5"/>
        <v>1873.3507</v>
      </c>
      <c r="H11" s="6">
        <f t="shared" si="0"/>
        <v>5245.3819599999997</v>
      </c>
      <c r="I11" s="6">
        <f t="shared" si="1"/>
        <v>634.73529599999995</v>
      </c>
      <c r="J11" s="6"/>
      <c r="K11" s="6">
        <f>(C11*5/1000)+(1%*(C11*5/1000))</f>
        <v>111.299071</v>
      </c>
      <c r="L11" s="8">
        <v>2</v>
      </c>
      <c r="M11" s="6">
        <f t="shared" si="7"/>
        <v>57469.492653999994</v>
      </c>
    </row>
    <row r="12" spans="1:16" x14ac:dyDescent="0.25">
      <c r="A12" s="4" t="s">
        <v>11</v>
      </c>
      <c r="B12" s="5">
        <v>1735.78</v>
      </c>
      <c r="C12" s="6">
        <f t="shared" si="8"/>
        <v>22565.14</v>
      </c>
      <c r="D12" s="6">
        <f t="shared" si="10"/>
        <v>549.59999999999991</v>
      </c>
      <c r="E12" s="6">
        <v>12.15</v>
      </c>
      <c r="F12" s="6">
        <f t="shared" si="4"/>
        <v>157.95000000000002</v>
      </c>
      <c r="G12" s="6">
        <f t="shared" si="5"/>
        <v>1918.0369000000001</v>
      </c>
      <c r="H12" s="6">
        <f t="shared" si="0"/>
        <v>5370.5033199999998</v>
      </c>
      <c r="I12" s="6"/>
      <c r="J12" s="6">
        <f t="shared" si="9"/>
        <v>1101.1788320000001</v>
      </c>
      <c r="K12" s="6">
        <f t="shared" ref="K12:K23" si="11">(C12*5/1000)+(1%*(C12*5/1000))</f>
        <v>113.953957</v>
      </c>
      <c r="L12" s="8">
        <v>1</v>
      </c>
      <c r="M12" s="6">
        <f t="shared" si="7"/>
        <v>29858.326109000001</v>
      </c>
    </row>
    <row r="13" spans="1:16" x14ac:dyDescent="0.25">
      <c r="A13" s="4" t="s">
        <v>12</v>
      </c>
      <c r="B13" s="5">
        <v>1784.15</v>
      </c>
      <c r="C13" s="6">
        <f t="shared" si="8"/>
        <v>23193.95</v>
      </c>
      <c r="D13" s="6">
        <f t="shared" si="10"/>
        <v>549.59999999999991</v>
      </c>
      <c r="E13" s="6">
        <v>12.49</v>
      </c>
      <c r="F13" s="6">
        <f t="shared" si="4"/>
        <v>162.37</v>
      </c>
      <c r="G13" s="6">
        <f t="shared" si="5"/>
        <v>1971.4857500000003</v>
      </c>
      <c r="H13" s="6">
        <f t="shared" si="0"/>
        <v>5520.1601000000001</v>
      </c>
      <c r="I13" s="6"/>
      <c r="J13" s="6">
        <f t="shared" si="9"/>
        <v>1131.8647599999999</v>
      </c>
      <c r="K13" s="6">
        <f t="shared" si="11"/>
        <v>117.1294475</v>
      </c>
      <c r="L13" s="8">
        <v>1</v>
      </c>
      <c r="M13" s="6">
        <f t="shared" si="7"/>
        <v>30675.074307499999</v>
      </c>
    </row>
    <row r="14" spans="1:16" x14ac:dyDescent="0.25">
      <c r="A14" s="4" t="s">
        <v>13</v>
      </c>
      <c r="B14" s="5">
        <v>1840.51</v>
      </c>
      <c r="C14" s="6">
        <f t="shared" si="8"/>
        <v>23926.63</v>
      </c>
      <c r="D14" s="6">
        <f t="shared" si="10"/>
        <v>549.59999999999991</v>
      </c>
      <c r="E14" s="6">
        <v>12.88</v>
      </c>
      <c r="F14" s="6">
        <f t="shared" si="4"/>
        <v>167.44</v>
      </c>
      <c r="G14" s="6">
        <f t="shared" si="5"/>
        <v>2033.7635500000001</v>
      </c>
      <c r="H14" s="6">
        <f t="shared" si="0"/>
        <v>5694.5379400000002</v>
      </c>
      <c r="I14" s="6">
        <f t="shared" si="1"/>
        <v>689.0869439999999</v>
      </c>
      <c r="J14" s="6"/>
      <c r="K14" s="6">
        <f t="shared" si="11"/>
        <v>120.82948150000001</v>
      </c>
      <c r="L14" s="8">
        <v>1</v>
      </c>
      <c r="M14" s="6">
        <f t="shared" si="7"/>
        <v>31148.1243655</v>
      </c>
    </row>
    <row r="15" spans="1:16" x14ac:dyDescent="0.25">
      <c r="A15" s="4" t="s">
        <v>14</v>
      </c>
      <c r="B15" s="5">
        <v>1908.6</v>
      </c>
      <c r="C15" s="6">
        <f t="shared" si="8"/>
        <v>24811.8</v>
      </c>
      <c r="D15" s="6">
        <f t="shared" si="10"/>
        <v>549.59999999999991</v>
      </c>
      <c r="E15" s="6">
        <v>13.36</v>
      </c>
      <c r="F15" s="6">
        <f t="shared" si="4"/>
        <v>173.68</v>
      </c>
      <c r="G15" s="6">
        <f t="shared" si="5"/>
        <v>2109.0030000000002</v>
      </c>
      <c r="H15" s="6">
        <f t="shared" si="0"/>
        <v>5905.2083999999995</v>
      </c>
      <c r="I15" s="6">
        <f t="shared" si="1"/>
        <v>714.57983999999999</v>
      </c>
      <c r="J15" s="6">
        <f t="shared" si="9"/>
        <v>1210.8158400000002</v>
      </c>
      <c r="K15" s="6">
        <f t="shared" si="11"/>
        <v>125.29958999999999</v>
      </c>
      <c r="L15" s="8"/>
      <c r="M15" s="6">
        <f t="shared" si="7"/>
        <v>0</v>
      </c>
    </row>
    <row r="16" spans="1:16" x14ac:dyDescent="0.25">
      <c r="A16" s="4" t="s">
        <v>15</v>
      </c>
      <c r="B16" s="5">
        <v>1961.93</v>
      </c>
      <c r="C16" s="6">
        <f t="shared" si="8"/>
        <v>25505.09</v>
      </c>
      <c r="D16" s="6">
        <f>45.8*12</f>
        <v>549.59999999999991</v>
      </c>
      <c r="E16" s="6">
        <v>13.73</v>
      </c>
      <c r="F16" s="6">
        <f t="shared" si="4"/>
        <v>178.49</v>
      </c>
      <c r="G16" s="6">
        <f t="shared" si="5"/>
        <v>2167.9326500000002</v>
      </c>
      <c r="H16" s="6">
        <f t="shared" si="0"/>
        <v>6070.2114199999996</v>
      </c>
      <c r="I16" s="6">
        <f t="shared" si="1"/>
        <v>734.54659199999992</v>
      </c>
      <c r="J16" s="6">
        <f t="shared" si="9"/>
        <v>1244.6483920000001</v>
      </c>
      <c r="K16" s="6">
        <f t="shared" si="11"/>
        <v>128.80070449999999</v>
      </c>
      <c r="L16" s="8"/>
      <c r="M16" s="6">
        <f t="shared" si="7"/>
        <v>0</v>
      </c>
    </row>
    <row r="17" spans="1:13" x14ac:dyDescent="0.25">
      <c r="A17" s="4" t="s">
        <v>16</v>
      </c>
      <c r="B17" s="5">
        <v>1844.62</v>
      </c>
      <c r="C17" s="6">
        <f t="shared" si="8"/>
        <v>23980.059999999998</v>
      </c>
      <c r="D17" s="6">
        <f t="shared" ref="D17:D22" si="12">51.9*12</f>
        <v>622.79999999999995</v>
      </c>
      <c r="E17" s="6">
        <v>12.91</v>
      </c>
      <c r="F17" s="6">
        <f t="shared" si="4"/>
        <v>167.83</v>
      </c>
      <c r="G17" s="6">
        <f t="shared" si="5"/>
        <v>2038.3051</v>
      </c>
      <c r="H17" s="6">
        <f t="shared" si="0"/>
        <v>5707.2542799999992</v>
      </c>
      <c r="I17" s="6">
        <f t="shared" si="1"/>
        <v>690.62572799999987</v>
      </c>
      <c r="J17" s="6"/>
      <c r="K17" s="6">
        <f t="shared" si="11"/>
        <v>121.09930299999999</v>
      </c>
      <c r="L17" s="8">
        <v>2</v>
      </c>
      <c r="M17" s="6">
        <f t="shared" si="7"/>
        <v>62579.338621999996</v>
      </c>
    </row>
    <row r="18" spans="1:13" x14ac:dyDescent="0.25">
      <c r="A18" s="4" t="s">
        <v>17</v>
      </c>
      <c r="B18" s="5">
        <v>1935</v>
      </c>
      <c r="C18" s="6">
        <f t="shared" si="8"/>
        <v>25155</v>
      </c>
      <c r="D18" s="6">
        <f t="shared" si="12"/>
        <v>622.79999999999995</v>
      </c>
      <c r="E18" s="6">
        <v>13.55</v>
      </c>
      <c r="F18" s="6">
        <f t="shared" si="4"/>
        <v>176.15</v>
      </c>
      <c r="G18" s="6">
        <f t="shared" si="5"/>
        <v>2138.1750000000002</v>
      </c>
      <c r="H18" s="6">
        <f t="shared" si="0"/>
        <v>5986.8899999999994</v>
      </c>
      <c r="I18" s="6"/>
      <c r="J18" s="6">
        <f t="shared" si="9"/>
        <v>1227.5640000000001</v>
      </c>
      <c r="K18" s="6">
        <f t="shared" si="11"/>
        <v>127.03275000000001</v>
      </c>
      <c r="L18" s="8">
        <v>1</v>
      </c>
      <c r="M18" s="6">
        <f t="shared" si="7"/>
        <v>33295.436750000001</v>
      </c>
    </row>
    <row r="19" spans="1:13" x14ac:dyDescent="0.25">
      <c r="A19" s="4" t="s">
        <v>18</v>
      </c>
      <c r="B19" s="5">
        <v>2120.9899999999998</v>
      </c>
      <c r="C19" s="6">
        <f t="shared" si="8"/>
        <v>27572.869999999995</v>
      </c>
      <c r="D19" s="6">
        <f t="shared" si="12"/>
        <v>622.79999999999995</v>
      </c>
      <c r="E19" s="6">
        <v>14.85</v>
      </c>
      <c r="F19" s="6">
        <f t="shared" si="4"/>
        <v>193.04999999999998</v>
      </c>
      <c r="G19" s="6">
        <f t="shared" si="5"/>
        <v>2343.6939499999999</v>
      </c>
      <c r="H19" s="6">
        <f t="shared" si="0"/>
        <v>6562.3430599999983</v>
      </c>
      <c r="I19" s="6"/>
      <c r="J19" s="6">
        <f t="shared" si="9"/>
        <v>1345.5560559999999</v>
      </c>
      <c r="K19" s="6">
        <f t="shared" si="11"/>
        <v>139.24299349999998</v>
      </c>
      <c r="L19" s="8">
        <v>1</v>
      </c>
      <c r="M19" s="6">
        <f t="shared" si="7"/>
        <v>36435.862109499998</v>
      </c>
    </row>
    <row r="20" spans="1:13" x14ac:dyDescent="0.25">
      <c r="A20" s="4" t="s">
        <v>19</v>
      </c>
      <c r="B20" s="5">
        <v>2211.5700000000002</v>
      </c>
      <c r="C20" s="6">
        <f t="shared" si="8"/>
        <v>28750.410000000003</v>
      </c>
      <c r="D20" s="6">
        <f t="shared" si="12"/>
        <v>622.79999999999995</v>
      </c>
      <c r="E20" s="6">
        <v>15.48</v>
      </c>
      <c r="F20" s="6">
        <f t="shared" si="4"/>
        <v>201.24</v>
      </c>
      <c r="G20" s="6">
        <f t="shared" si="5"/>
        <v>2443.7848500000005</v>
      </c>
      <c r="H20" s="6">
        <f t="shared" si="0"/>
        <v>6842.5975800000006</v>
      </c>
      <c r="I20" s="6">
        <f t="shared" si="1"/>
        <v>828.01180800000009</v>
      </c>
      <c r="J20" s="6"/>
      <c r="K20" s="6">
        <f t="shared" si="11"/>
        <v>145.18957050000003</v>
      </c>
      <c r="L20" s="8"/>
      <c r="M20" s="6">
        <f t="shared" si="7"/>
        <v>0</v>
      </c>
    </row>
    <row r="21" spans="1:13" x14ac:dyDescent="0.25">
      <c r="A21" s="4" t="s">
        <v>20</v>
      </c>
      <c r="B21" s="5">
        <v>2310.31</v>
      </c>
      <c r="C21" s="6">
        <f t="shared" si="8"/>
        <v>30034.03</v>
      </c>
      <c r="D21" s="6">
        <f t="shared" si="12"/>
        <v>622.79999999999995</v>
      </c>
      <c r="E21" s="6">
        <v>16.170000000000002</v>
      </c>
      <c r="F21" s="6">
        <f t="shared" si="4"/>
        <v>210.21000000000004</v>
      </c>
      <c r="G21" s="6">
        <f t="shared" si="5"/>
        <v>2552.89255</v>
      </c>
      <c r="H21" s="6">
        <f t="shared" si="0"/>
        <v>7148.0991399999994</v>
      </c>
      <c r="I21" s="6">
        <f t="shared" si="1"/>
        <v>864.98006399999997</v>
      </c>
      <c r="J21" s="6">
        <f t="shared" si="9"/>
        <v>1465.660664</v>
      </c>
      <c r="K21" s="6">
        <f t="shared" si="11"/>
        <v>151.6718515</v>
      </c>
      <c r="L21" s="8"/>
      <c r="M21" s="6">
        <f t="shared" si="7"/>
        <v>0</v>
      </c>
    </row>
    <row r="22" spans="1:13" x14ac:dyDescent="0.25">
      <c r="A22" s="4" t="s">
        <v>21</v>
      </c>
      <c r="B22" s="5">
        <v>2469.9</v>
      </c>
      <c r="C22" s="6">
        <f t="shared" si="8"/>
        <v>32108.7</v>
      </c>
      <c r="D22" s="6">
        <f t="shared" si="12"/>
        <v>622.79999999999995</v>
      </c>
      <c r="E22" s="6">
        <v>17.29</v>
      </c>
      <c r="F22" s="6">
        <f t="shared" si="4"/>
        <v>224.76999999999998</v>
      </c>
      <c r="G22" s="6">
        <f t="shared" si="5"/>
        <v>2729.2395000000001</v>
      </c>
      <c r="H22" s="6">
        <f t="shared" si="0"/>
        <v>7641.8706000000002</v>
      </c>
      <c r="I22" s="6">
        <f t="shared" si="1"/>
        <v>924.73056000000008</v>
      </c>
      <c r="J22" s="6">
        <f t="shared" si="9"/>
        <v>1566.9045600000002</v>
      </c>
      <c r="K22" s="6">
        <f t="shared" si="11"/>
        <v>162.14893499999999</v>
      </c>
      <c r="L22" s="8"/>
      <c r="M22" s="6">
        <f t="shared" si="7"/>
        <v>0</v>
      </c>
    </row>
    <row r="23" spans="1:13" x14ac:dyDescent="0.25">
      <c r="A23" s="4" t="s">
        <v>22</v>
      </c>
      <c r="B23" s="5">
        <v>2594.9</v>
      </c>
      <c r="C23" s="6">
        <f t="shared" si="8"/>
        <v>33733.700000000004</v>
      </c>
      <c r="D23" s="6">
        <f>51.9*12</f>
        <v>622.79999999999995</v>
      </c>
      <c r="E23" s="6">
        <v>18.16</v>
      </c>
      <c r="F23" s="6">
        <f t="shared" si="4"/>
        <v>236.08</v>
      </c>
      <c r="G23" s="6">
        <f t="shared" si="5"/>
        <v>2867.3645000000006</v>
      </c>
      <c r="H23" s="6">
        <f t="shared" si="0"/>
        <v>8028.6206000000011</v>
      </c>
      <c r="I23" s="6">
        <f t="shared" si="1"/>
        <v>971.53056000000015</v>
      </c>
      <c r="J23" s="6">
        <f t="shared" si="9"/>
        <v>1646.2045600000004</v>
      </c>
      <c r="K23" s="6">
        <f t="shared" si="11"/>
        <v>170.35518500000003</v>
      </c>
      <c r="L23" s="8"/>
      <c r="M23" s="6">
        <f t="shared" si="7"/>
        <v>0</v>
      </c>
    </row>
    <row r="24" spans="1:13" x14ac:dyDescent="0.25">
      <c r="A24" s="3"/>
      <c r="B24" s="3" t="s">
        <v>26</v>
      </c>
      <c r="C24" s="3">
        <v>29048.47596</v>
      </c>
      <c r="D24" s="3"/>
      <c r="E24" s="3"/>
      <c r="F24" s="6"/>
      <c r="G24" s="6"/>
      <c r="H24" s="6"/>
      <c r="I24" s="6"/>
      <c r="J24" s="6"/>
      <c r="K24" s="6"/>
      <c r="L24" s="8">
        <v>1</v>
      </c>
      <c r="M24" s="6">
        <f t="shared" ref="M24:M25" si="13">L24*(J24+I24+H24+C24+D24+F24)</f>
        <v>29048.47596</v>
      </c>
    </row>
    <row r="25" spans="1:13" x14ac:dyDescent="0.25">
      <c r="A25" s="3"/>
      <c r="B25" s="3" t="s">
        <v>27</v>
      </c>
      <c r="C25" s="7">
        <v>11392.64</v>
      </c>
      <c r="D25" s="7"/>
      <c r="E25" s="7"/>
      <c r="F25" s="6"/>
      <c r="G25" s="6">
        <f t="shared" ref="G25" si="14">C25*0.085</f>
        <v>968.37440000000004</v>
      </c>
      <c r="H25" s="6">
        <f t="shared" ref="H25" si="15">C25*0.238</f>
        <v>2711.44832</v>
      </c>
      <c r="I25" s="6">
        <f t="shared" ref="I25" si="16">C25*0.8*0.036</f>
        <v>328.10803199999992</v>
      </c>
      <c r="J25" s="6">
        <f t="shared" ref="J25" si="17">C25*0.8*0.061</f>
        <v>555.96083199999998</v>
      </c>
      <c r="K25" s="6"/>
      <c r="L25" s="8">
        <v>1</v>
      </c>
      <c r="M25" s="6">
        <f t="shared" si="13"/>
        <v>14988.157184</v>
      </c>
    </row>
    <row r="26" spans="1:13" x14ac:dyDescent="0.25">
      <c r="A26" s="3"/>
      <c r="B26" s="3" t="s">
        <v>32</v>
      </c>
      <c r="C26" s="3">
        <v>59973.05</v>
      </c>
      <c r="D26" s="3"/>
      <c r="E26" s="3">
        <v>18.66</v>
      </c>
      <c r="F26" s="6">
        <f t="shared" si="4"/>
        <v>242.58</v>
      </c>
      <c r="G26" s="6">
        <f t="shared" si="5"/>
        <v>5097.7092500000008</v>
      </c>
      <c r="H26" s="6">
        <f t="shared" si="0"/>
        <v>14273.5859</v>
      </c>
      <c r="I26" s="6">
        <f t="shared" ref="I26" si="18">C26*0.8*0.036</f>
        <v>1727.2238399999999</v>
      </c>
      <c r="J26" s="6"/>
      <c r="K26" s="6">
        <f t="shared" ref="K26" si="19">(C26*5/1000)+(1%*(C26*5/1000))</f>
        <v>302.86390249999999</v>
      </c>
      <c r="L26" s="8">
        <v>1</v>
      </c>
      <c r="M26" s="6">
        <f>L26*(J26+I26+H26+C26+D26+F26+K26)</f>
        <v>76519.303642500003</v>
      </c>
    </row>
    <row r="27" spans="1:13" x14ac:dyDescent="0.25">
      <c r="A27" s="3"/>
      <c r="B27" s="3" t="s">
        <v>33</v>
      </c>
      <c r="C27" s="3">
        <v>2500</v>
      </c>
      <c r="D27" s="3"/>
      <c r="E27" s="3"/>
      <c r="F27" s="6"/>
      <c r="G27" s="6"/>
      <c r="H27" s="6"/>
      <c r="I27" s="6"/>
      <c r="J27" s="6"/>
      <c r="K27" s="6"/>
      <c r="L27" s="8">
        <v>1</v>
      </c>
      <c r="M27" s="6">
        <f>L27*(J27+I27+H27+C27+D27+F27)</f>
        <v>2500</v>
      </c>
    </row>
    <row r="28" spans="1:13" x14ac:dyDescent="0.25">
      <c r="A28" s="3"/>
      <c r="B28" s="3" t="s">
        <v>34</v>
      </c>
      <c r="C28" s="3">
        <v>1695.96</v>
      </c>
      <c r="D28" s="3"/>
      <c r="E28" s="3"/>
      <c r="F28" s="6"/>
      <c r="G28" s="6"/>
      <c r="H28" s="6"/>
      <c r="I28" s="6"/>
      <c r="J28" s="6"/>
      <c r="K28" s="6"/>
      <c r="L28" s="8">
        <v>1</v>
      </c>
      <c r="M28" s="6">
        <f>L28*(J28+I28+H28+C28+D28+F28)</f>
        <v>1695.96</v>
      </c>
    </row>
    <row r="29" spans="1:13" x14ac:dyDescent="0.25">
      <c r="A29" s="3"/>
      <c r="B29" s="3"/>
      <c r="C29" s="3"/>
      <c r="D29" s="3"/>
      <c r="E29" s="3"/>
      <c r="F29" s="6"/>
      <c r="G29" s="6"/>
      <c r="H29" s="6"/>
      <c r="I29" s="6"/>
      <c r="J29" s="6"/>
      <c r="K29" s="6"/>
      <c r="L29" s="8"/>
      <c r="M29" s="6">
        <v>13262.36</v>
      </c>
    </row>
    <row r="30" spans="1:13" x14ac:dyDescent="0.25">
      <c r="A30" s="3"/>
      <c r="B30" s="3" t="s">
        <v>33</v>
      </c>
      <c r="C30" s="3"/>
      <c r="D30" s="3"/>
      <c r="E30" s="3"/>
      <c r="F30" s="3"/>
      <c r="G30" s="3"/>
      <c r="H30" s="3"/>
      <c r="I30" s="3"/>
      <c r="J30" s="3"/>
      <c r="K30" s="3"/>
      <c r="L30" s="8"/>
      <c r="M30" s="6">
        <f>SUM(M2:M29)</f>
        <v>472896.31182140001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R17"/>
  <sheetViews>
    <sheetView zoomScale="90" zoomScaleNormal="90" workbookViewId="0">
      <selection activeCell="A3" sqref="A3"/>
    </sheetView>
  </sheetViews>
  <sheetFormatPr defaultColWidth="8.85546875" defaultRowHeight="15" x14ac:dyDescent="0.25"/>
  <cols>
    <col min="1" max="1" width="37" customWidth="1"/>
    <col min="2" max="2" width="18.140625" customWidth="1"/>
    <col min="3" max="3" width="11.7109375" customWidth="1"/>
    <col min="4" max="4" width="8.140625" customWidth="1"/>
    <col min="5" max="5" width="16.42578125" customWidth="1"/>
    <col min="6" max="6" width="17" customWidth="1"/>
    <col min="7" max="7" width="14" customWidth="1"/>
    <col min="8" max="8" width="10.42578125" customWidth="1"/>
    <col min="9" max="9" width="12.42578125" customWidth="1"/>
    <col min="10" max="10" width="11.7109375" customWidth="1"/>
    <col min="11" max="11" width="12" customWidth="1"/>
    <col min="12" max="12" width="10.42578125" customWidth="1"/>
    <col min="13" max="13" width="11.28515625" customWidth="1"/>
    <col min="14" max="16" width="10.42578125" customWidth="1"/>
    <col min="17" max="17" width="11.42578125" customWidth="1"/>
    <col min="18" max="18" width="14.42578125" customWidth="1"/>
  </cols>
  <sheetData>
    <row r="2" spans="1:18" ht="60" x14ac:dyDescent="0.25">
      <c r="A2" s="3" t="s">
        <v>79</v>
      </c>
      <c r="B2" s="3" t="s">
        <v>42</v>
      </c>
      <c r="C2" s="3" t="s">
        <v>81</v>
      </c>
      <c r="D2" s="3" t="s">
        <v>44</v>
      </c>
      <c r="E2" s="12" t="s">
        <v>66</v>
      </c>
      <c r="F2" s="12" t="s">
        <v>69</v>
      </c>
      <c r="G2" s="21" t="s">
        <v>68</v>
      </c>
      <c r="H2" s="21" t="s">
        <v>70</v>
      </c>
      <c r="I2" s="21" t="s">
        <v>78</v>
      </c>
      <c r="J2" s="22" t="s">
        <v>38</v>
      </c>
      <c r="K2" s="22" t="s">
        <v>39</v>
      </c>
      <c r="L2" s="21" t="s">
        <v>29</v>
      </c>
      <c r="M2" s="21" t="s">
        <v>40</v>
      </c>
      <c r="N2" s="23" t="s">
        <v>24</v>
      </c>
      <c r="O2" s="21" t="s">
        <v>25</v>
      </c>
      <c r="P2" s="21" t="s">
        <v>35</v>
      </c>
      <c r="Q2" s="24" t="s">
        <v>71</v>
      </c>
      <c r="R2" s="21" t="s">
        <v>72</v>
      </c>
    </row>
    <row r="3" spans="1:18" x14ac:dyDescent="0.25">
      <c r="A3" s="3" t="s">
        <v>80</v>
      </c>
      <c r="B3" s="3" t="s">
        <v>46</v>
      </c>
      <c r="C3" s="28" t="s">
        <v>63</v>
      </c>
      <c r="D3" s="28">
        <v>36</v>
      </c>
      <c r="E3" s="25" t="s">
        <v>47</v>
      </c>
      <c r="F3" s="25">
        <v>1440.86</v>
      </c>
      <c r="G3" s="29">
        <f>F3*13</f>
        <v>18731.18</v>
      </c>
      <c r="H3" s="29">
        <f>32.4*12</f>
        <v>388.79999999999995</v>
      </c>
      <c r="I3" s="29">
        <v>10.09</v>
      </c>
      <c r="J3" s="30">
        <v>29</v>
      </c>
      <c r="K3" s="29">
        <f t="shared" ref="K3" si="0">(I3+J3)*13</f>
        <v>508.17000000000007</v>
      </c>
      <c r="L3" s="29">
        <f>(G3+K3+H3)*0.085</f>
        <v>1668.39275</v>
      </c>
      <c r="M3" s="29">
        <f>SUM(G3:H3,L3)*0.238</f>
        <v>4947.6327144999996</v>
      </c>
      <c r="N3" s="31">
        <f>SUM(G3,H3,K3)*0.8*0.036</f>
        <v>565.29072000000008</v>
      </c>
      <c r="O3" s="29">
        <f>SUM(G3,H3,K3)*0.8*0.061</f>
        <v>957.85372000000007</v>
      </c>
      <c r="P3" s="29">
        <f>(SUM(G3,H3,K3)*22/1000)+(1%*(SUM(G3,H3,K3*22/1000)))</f>
        <v>623.13089740000009</v>
      </c>
      <c r="Q3" s="32">
        <v>1</v>
      </c>
      <c r="R3" s="29">
        <f>Q3*SUM(P3,M3,K3,H3,G3,O3)</f>
        <v>26156.767331899999</v>
      </c>
    </row>
    <row r="4" spans="1:18" x14ac:dyDescent="0.25">
      <c r="A4" s="3" t="s">
        <v>49</v>
      </c>
      <c r="B4" s="3" t="s">
        <v>48</v>
      </c>
      <c r="C4" s="28" t="s">
        <v>64</v>
      </c>
      <c r="D4" s="28">
        <v>36</v>
      </c>
      <c r="E4" s="25" t="s">
        <v>50</v>
      </c>
      <c r="F4" s="25">
        <v>1639.16</v>
      </c>
      <c r="G4" s="29">
        <f t="shared" ref="G4:G6" si="1">F4*13</f>
        <v>21309.08</v>
      </c>
      <c r="H4" s="29">
        <f t="shared" ref="H4" si="2">39.31*12</f>
        <v>471.72</v>
      </c>
      <c r="I4" s="29">
        <v>11.47</v>
      </c>
      <c r="J4" s="29">
        <v>23</v>
      </c>
      <c r="K4" s="29">
        <f t="shared" ref="K4:K6" si="3">(I4+J4)*13</f>
        <v>448.11</v>
      </c>
      <c r="L4" s="29">
        <f t="shared" ref="L4:L13" si="4">(G4+K4+H4)*0.085</f>
        <v>1889.4573500000004</v>
      </c>
      <c r="M4" s="29">
        <f t="shared" ref="M4:M13" si="5">SUM(G4:H4,L4)*0.238</f>
        <v>5633.5212493000008</v>
      </c>
      <c r="N4" s="31">
        <f t="shared" ref="N4:N6" si="6">SUM(G4,H4,K4)*0.8*0.036</f>
        <v>640.19260800000006</v>
      </c>
      <c r="O4" s="29">
        <f t="shared" ref="O4:O6" si="7">SUM(G4,H4,K4)*0.8*0.061</f>
        <v>1084.7708080000002</v>
      </c>
      <c r="P4" s="29">
        <f t="shared" ref="P4:P13" si="8">(SUM(G4,H4,K4)*22/1000)+(1%*(SUM(G4,H4,K4*22/1000)))</f>
        <v>706.94260420000012</v>
      </c>
      <c r="Q4" s="29">
        <v>1</v>
      </c>
      <c r="R4" s="29">
        <f t="shared" ref="R4:R16" si="9">Q4*SUM(P4,M4,K4,H4,G4,O4)</f>
        <v>29654.144661500002</v>
      </c>
    </row>
    <row r="5" spans="1:18" x14ac:dyDescent="0.25">
      <c r="A5" s="3" t="s">
        <v>74</v>
      </c>
      <c r="B5" s="3" t="s">
        <v>51</v>
      </c>
      <c r="C5" s="28" t="s">
        <v>76</v>
      </c>
      <c r="D5" s="28">
        <v>18</v>
      </c>
      <c r="E5" s="25" t="s">
        <v>52</v>
      </c>
      <c r="F5" s="25">
        <v>1695.34</v>
      </c>
      <c r="G5" s="29">
        <f t="shared" ref="G5" si="10">F5*13</f>
        <v>22039.42</v>
      </c>
      <c r="H5" s="29">
        <f t="shared" ref="H5" si="11">45.8*12</f>
        <v>549.59999999999991</v>
      </c>
      <c r="I5" s="29">
        <v>11.87</v>
      </c>
      <c r="J5" s="29">
        <v>23</v>
      </c>
      <c r="K5" s="29">
        <f t="shared" ref="K5" si="12">(I5+J5)*13</f>
        <v>453.30999999999995</v>
      </c>
      <c r="L5" s="29">
        <f t="shared" ref="L5" si="13">(G5+K5+H5)*0.085</f>
        <v>1958.5980500000001</v>
      </c>
      <c r="M5" s="29">
        <f t="shared" ref="M5" si="14">SUM(G5:H5,L5)*0.238</f>
        <v>5842.3330958999995</v>
      </c>
      <c r="N5" s="31">
        <f t="shared" ref="N5" si="15">SUM(G5,H5,K5)*0.8*0.036</f>
        <v>663.61910399999988</v>
      </c>
      <c r="O5" s="29">
        <f t="shared" ref="O5" si="16">SUM(G5,H5,K5)*0.8*0.061</f>
        <v>1124.4657039999997</v>
      </c>
      <c r="P5" s="29">
        <f t="shared" ref="P5" si="17">(SUM(G5,H5,K5)*22/1000)+(1%*(SUM(G5,H5,K5*22/1000)))</f>
        <v>732.92118819999996</v>
      </c>
      <c r="Q5" s="29">
        <v>0.5</v>
      </c>
      <c r="R5" s="29">
        <f t="shared" ref="R5" si="18">Q5*SUM(P5,M5,K5,H5,G5,O5)</f>
        <v>15371.024994049998</v>
      </c>
    </row>
    <row r="6" spans="1:18" x14ac:dyDescent="0.25">
      <c r="A6" s="3" t="s">
        <v>53</v>
      </c>
      <c r="B6" s="3" t="s">
        <v>54</v>
      </c>
      <c r="C6" s="28" t="s">
        <v>65</v>
      </c>
      <c r="D6" s="28">
        <v>36</v>
      </c>
      <c r="E6" s="25" t="s">
        <v>55</v>
      </c>
      <c r="F6" s="25">
        <v>1844.62</v>
      </c>
      <c r="G6" s="29">
        <f t="shared" si="1"/>
        <v>23980.059999999998</v>
      </c>
      <c r="H6" s="29">
        <f t="shared" ref="H6:H9" si="19">51.9*12</f>
        <v>622.79999999999995</v>
      </c>
      <c r="I6" s="29">
        <v>12.91</v>
      </c>
      <c r="J6" s="29">
        <v>19</v>
      </c>
      <c r="K6" s="29">
        <f t="shared" si="3"/>
        <v>414.83</v>
      </c>
      <c r="L6" s="29">
        <f t="shared" si="4"/>
        <v>2126.5036500000001</v>
      </c>
      <c r="M6" s="29">
        <f t="shared" si="5"/>
        <v>6361.5885486999987</v>
      </c>
      <c r="N6" s="31">
        <f t="shared" si="6"/>
        <v>720.50947199999996</v>
      </c>
      <c r="O6" s="29">
        <f t="shared" si="7"/>
        <v>1220.8632720000001</v>
      </c>
      <c r="P6" s="29">
        <f t="shared" si="8"/>
        <v>796.50904259999993</v>
      </c>
      <c r="Q6" s="29">
        <v>1</v>
      </c>
      <c r="R6" s="29">
        <f>Q6*SUM(P6,M6,K6,H6,G6,O6)</f>
        <v>33396.650863299998</v>
      </c>
    </row>
    <row r="7" spans="1:18" x14ac:dyDescent="0.25">
      <c r="A7" s="3" t="s">
        <v>75</v>
      </c>
      <c r="B7" s="3" t="s">
        <v>51</v>
      </c>
      <c r="C7" s="28" t="s">
        <v>65</v>
      </c>
      <c r="D7" s="28">
        <v>18</v>
      </c>
      <c r="E7" s="25" t="s">
        <v>55</v>
      </c>
      <c r="F7" s="25">
        <v>1844.62</v>
      </c>
      <c r="G7" s="29">
        <f t="shared" ref="G7:G9" si="20">F7*13</f>
        <v>23980.059999999998</v>
      </c>
      <c r="H7" s="29">
        <f t="shared" si="19"/>
        <v>622.79999999999995</v>
      </c>
      <c r="I7" s="29">
        <v>12.91</v>
      </c>
      <c r="J7" s="29">
        <v>19</v>
      </c>
      <c r="K7" s="29">
        <f t="shared" ref="K7:K9" si="21">(I7+J7)*13</f>
        <v>414.83</v>
      </c>
      <c r="L7" s="29">
        <f t="shared" ref="L7:L9" si="22">(G7+K7+H7)*0.085</f>
        <v>2126.5036500000001</v>
      </c>
      <c r="M7" s="29">
        <f t="shared" ref="M7:M9" si="23">SUM(G7:H7,L7)*0.238</f>
        <v>6361.5885486999987</v>
      </c>
      <c r="N7" s="31">
        <f t="shared" ref="N7:N9" si="24">SUM(G7,H7,K7)*0.8*0.036</f>
        <v>720.50947199999996</v>
      </c>
      <c r="O7" s="29">
        <f t="shared" ref="O7:O9" si="25">SUM(G7,H7,K7)*0.8*0.061</f>
        <v>1220.8632720000001</v>
      </c>
      <c r="P7" s="29">
        <f t="shared" ref="P7:P9" si="26">(SUM(G7,H7,K7)*22/1000)+(1%*(SUM(G7,H7,K7*22/1000)))</f>
        <v>796.50904259999993</v>
      </c>
      <c r="Q7" s="29">
        <v>0.5</v>
      </c>
      <c r="R7" s="29">
        <f>Q7*SUM(P7,M7,K7,H7,G7,O7)</f>
        <v>16698.325431649999</v>
      </c>
    </row>
    <row r="8" spans="1:18" x14ac:dyDescent="0.25">
      <c r="A8" s="3" t="s">
        <v>56</v>
      </c>
      <c r="B8" s="3" t="s">
        <v>57</v>
      </c>
      <c r="C8" s="28" t="s">
        <v>65</v>
      </c>
      <c r="D8" s="28">
        <v>30</v>
      </c>
      <c r="E8" s="25" t="s">
        <v>55</v>
      </c>
      <c r="F8" s="25">
        <v>1844.62</v>
      </c>
      <c r="G8" s="29">
        <f t="shared" si="20"/>
        <v>23980.059999999998</v>
      </c>
      <c r="H8" s="29">
        <f t="shared" si="19"/>
        <v>622.79999999999995</v>
      </c>
      <c r="I8" s="29">
        <v>12.91</v>
      </c>
      <c r="J8" s="29">
        <v>19</v>
      </c>
      <c r="K8" s="29">
        <f t="shared" si="21"/>
        <v>414.83</v>
      </c>
      <c r="L8" s="29">
        <f t="shared" si="22"/>
        <v>2126.5036500000001</v>
      </c>
      <c r="M8" s="29">
        <f t="shared" si="23"/>
        <v>6361.5885486999987</v>
      </c>
      <c r="N8" s="31">
        <f t="shared" si="24"/>
        <v>720.50947199999996</v>
      </c>
      <c r="O8" s="29">
        <f>SUM(G8,H8,K8)*0.8*0.061</f>
        <v>1220.8632720000001</v>
      </c>
      <c r="P8" s="29">
        <f t="shared" si="26"/>
        <v>796.50904259999993</v>
      </c>
      <c r="Q8" s="29">
        <v>0.83</v>
      </c>
      <c r="R8" s="29">
        <f>Q8*SUM(P8,M8,K8,H8,G8,O8)</f>
        <v>27719.220216538997</v>
      </c>
    </row>
    <row r="9" spans="1:18" x14ac:dyDescent="0.25">
      <c r="A9" s="3" t="s">
        <v>59</v>
      </c>
      <c r="B9" s="3" t="s">
        <v>51</v>
      </c>
      <c r="C9" s="28" t="s">
        <v>65</v>
      </c>
      <c r="D9" s="28">
        <v>36</v>
      </c>
      <c r="E9" s="25" t="s">
        <v>55</v>
      </c>
      <c r="F9" s="25">
        <v>1844.62</v>
      </c>
      <c r="G9" s="29">
        <f t="shared" si="20"/>
        <v>23980.059999999998</v>
      </c>
      <c r="H9" s="29">
        <f t="shared" si="19"/>
        <v>622.79999999999995</v>
      </c>
      <c r="I9" s="29">
        <v>12.91</v>
      </c>
      <c r="J9" s="29">
        <v>19</v>
      </c>
      <c r="K9" s="29">
        <f t="shared" si="21"/>
        <v>414.83</v>
      </c>
      <c r="L9" s="29">
        <f t="shared" si="22"/>
        <v>2126.5036500000001</v>
      </c>
      <c r="M9" s="29">
        <f t="shared" si="23"/>
        <v>6361.5885486999987</v>
      </c>
      <c r="N9" s="31">
        <f t="shared" si="24"/>
        <v>720.50947199999996</v>
      </c>
      <c r="O9" s="29">
        <f t="shared" si="25"/>
        <v>1220.8632720000001</v>
      </c>
      <c r="P9" s="29">
        <f t="shared" si="26"/>
        <v>796.50904259999993</v>
      </c>
      <c r="Q9" s="29">
        <v>1</v>
      </c>
      <c r="R9" s="29">
        <f>Q9*SUM(P9,M9,K9,H9,G9,O9)</f>
        <v>33396.650863299998</v>
      </c>
    </row>
    <row r="10" spans="1:18" ht="30" x14ac:dyDescent="0.25">
      <c r="A10" s="10" t="s">
        <v>61</v>
      </c>
      <c r="B10" s="3" t="s">
        <v>82</v>
      </c>
      <c r="C10" s="28" t="s">
        <v>77</v>
      </c>
      <c r="D10" s="3"/>
      <c r="E10" s="26"/>
      <c r="F10" s="25">
        <v>9968.5499999999993</v>
      </c>
      <c r="G10" s="29"/>
      <c r="H10" s="29"/>
      <c r="I10" s="29"/>
      <c r="J10" s="29"/>
      <c r="K10" s="29"/>
      <c r="L10" s="29">
        <v>847.33</v>
      </c>
      <c r="M10" s="29">
        <v>2372.5100000000002</v>
      </c>
      <c r="N10" s="31">
        <v>287.08999999999997</v>
      </c>
      <c r="O10" s="29"/>
      <c r="P10" s="29"/>
      <c r="Q10" s="29"/>
      <c r="R10" s="29">
        <f>SUM(F10:Q10)</f>
        <v>13475.48</v>
      </c>
    </row>
    <row r="11" spans="1:18" ht="30" x14ac:dyDescent="0.25">
      <c r="A11" s="10" t="s">
        <v>62</v>
      </c>
      <c r="B11" s="3" t="s">
        <v>82</v>
      </c>
      <c r="C11" s="28" t="s">
        <v>77</v>
      </c>
      <c r="D11" s="3"/>
      <c r="E11" s="26"/>
      <c r="F11" s="25">
        <v>7974.84</v>
      </c>
      <c r="G11" s="29"/>
      <c r="H11" s="29"/>
      <c r="I11" s="29"/>
      <c r="J11" s="29"/>
      <c r="K11" s="29"/>
      <c r="L11" s="29">
        <v>677.86</v>
      </c>
      <c r="M11" s="29">
        <v>1898.01</v>
      </c>
      <c r="N11" s="31">
        <v>229.68</v>
      </c>
      <c r="O11" s="29"/>
      <c r="P11" s="29"/>
      <c r="Q11" s="29"/>
      <c r="R11" s="29">
        <f>SUM(F11:Q11)</f>
        <v>10780.390000000001</v>
      </c>
    </row>
    <row r="12" spans="1:18" x14ac:dyDescent="0.25">
      <c r="A12" s="3"/>
      <c r="B12" s="3"/>
      <c r="C12" s="3"/>
      <c r="D12" s="3"/>
      <c r="E12" s="140" t="s">
        <v>26</v>
      </c>
      <c r="F12" s="141"/>
      <c r="G12" s="29">
        <v>29325</v>
      </c>
      <c r="H12" s="29"/>
      <c r="I12" s="29"/>
      <c r="J12" s="29"/>
      <c r="K12" s="29"/>
      <c r="L12" s="29">
        <f t="shared" si="4"/>
        <v>2492.625</v>
      </c>
      <c r="M12" s="29">
        <f t="shared" si="5"/>
        <v>7572.5947499999993</v>
      </c>
      <c r="N12" s="31">
        <f>SUM(G12,H12,K30)*0.8*0.036</f>
        <v>844.56</v>
      </c>
      <c r="O12" s="29">
        <f t="shared" ref="O12:O13" si="27">SUM(G12:K12)*0.8*0.061</f>
        <v>1431.06</v>
      </c>
      <c r="P12" s="29">
        <f t="shared" si="8"/>
        <v>938.4</v>
      </c>
      <c r="Q12" s="29">
        <v>1</v>
      </c>
      <c r="R12" s="29">
        <f t="shared" si="9"/>
        <v>39267.054749999996</v>
      </c>
    </row>
    <row r="13" spans="1:18" x14ac:dyDescent="0.25">
      <c r="A13" s="3"/>
      <c r="B13" s="3"/>
      <c r="C13" s="3"/>
      <c r="D13" s="3"/>
      <c r="E13" s="140" t="s">
        <v>27</v>
      </c>
      <c r="F13" s="141"/>
      <c r="G13" s="29">
        <v>7705.7099999999991</v>
      </c>
      <c r="H13" s="29"/>
      <c r="I13" s="29"/>
      <c r="J13" s="29"/>
      <c r="K13" s="29"/>
      <c r="L13" s="29">
        <f t="shared" si="4"/>
        <v>654.98534999999993</v>
      </c>
      <c r="M13" s="29">
        <f t="shared" si="5"/>
        <v>1989.8454932999994</v>
      </c>
      <c r="N13" s="31">
        <f>SUM(G13,H13,K31)*0.8*0.036</f>
        <v>221.92444799999996</v>
      </c>
      <c r="O13" s="29">
        <f t="shared" si="27"/>
        <v>376.03864799999997</v>
      </c>
      <c r="P13" s="29">
        <f t="shared" si="8"/>
        <v>246.58271999999999</v>
      </c>
      <c r="Q13" s="29">
        <v>1</v>
      </c>
      <c r="R13" s="29">
        <f t="shared" si="9"/>
        <v>10318.176861299999</v>
      </c>
    </row>
    <row r="14" spans="1:18" x14ac:dyDescent="0.25">
      <c r="A14" s="3"/>
      <c r="B14" s="3"/>
      <c r="C14" s="3"/>
      <c r="D14" s="3"/>
      <c r="E14" s="140" t="s">
        <v>33</v>
      </c>
      <c r="F14" s="141"/>
      <c r="G14" s="29">
        <v>3400</v>
      </c>
      <c r="H14" s="29"/>
      <c r="I14" s="29"/>
      <c r="J14" s="29"/>
      <c r="K14" s="29"/>
      <c r="L14" s="29"/>
      <c r="M14" s="29"/>
      <c r="N14" s="31"/>
      <c r="O14" s="29"/>
      <c r="P14" s="29"/>
      <c r="Q14" s="29">
        <v>1</v>
      </c>
      <c r="R14" s="29">
        <f t="shared" si="9"/>
        <v>3400</v>
      </c>
    </row>
    <row r="15" spans="1:18" x14ac:dyDescent="0.25">
      <c r="A15" s="3"/>
      <c r="B15" s="3"/>
      <c r="C15" s="3"/>
      <c r="D15" s="3"/>
      <c r="E15" s="140" t="s">
        <v>34</v>
      </c>
      <c r="F15" s="141"/>
      <c r="G15" s="29"/>
      <c r="H15" s="29"/>
      <c r="I15" s="29"/>
      <c r="J15" s="29"/>
      <c r="K15" s="29"/>
      <c r="L15" s="29"/>
      <c r="M15" s="29"/>
      <c r="N15" s="31"/>
      <c r="O15" s="29"/>
      <c r="P15" s="29"/>
      <c r="Q15" s="29"/>
      <c r="R15" s="29">
        <f t="shared" si="9"/>
        <v>0</v>
      </c>
    </row>
    <row r="16" spans="1:18" x14ac:dyDescent="0.25">
      <c r="A16" s="3"/>
      <c r="B16" s="3"/>
      <c r="C16" s="3"/>
      <c r="D16" s="3"/>
      <c r="E16" s="140" t="s">
        <v>37</v>
      </c>
      <c r="F16" s="141"/>
      <c r="G16" s="29"/>
      <c r="H16" s="29"/>
      <c r="I16" s="29"/>
      <c r="J16" s="29"/>
      <c r="K16" s="29"/>
      <c r="L16" s="29"/>
      <c r="M16" s="29"/>
      <c r="N16" s="31"/>
      <c r="O16" s="29"/>
      <c r="P16" s="29"/>
      <c r="Q16" s="29"/>
      <c r="R16" s="29">
        <f t="shared" si="9"/>
        <v>0</v>
      </c>
    </row>
    <row r="17" spans="5:18" x14ac:dyDescent="0.25">
      <c r="E17" s="1"/>
      <c r="F17" s="1"/>
      <c r="G17" s="1"/>
      <c r="H17" s="1"/>
      <c r="I17" s="1"/>
      <c r="J17" s="1"/>
      <c r="K17" s="1"/>
      <c r="L17" s="1"/>
      <c r="M17" s="1"/>
      <c r="N17" s="27"/>
      <c r="O17" s="1"/>
      <c r="P17" s="1"/>
      <c r="Q17" s="1"/>
      <c r="R17" s="1">
        <f>SUM(R3:R16)</f>
        <v>259633.885973539</v>
      </c>
    </row>
  </sheetData>
  <mergeCells count="5">
    <mergeCell ref="E12:F12"/>
    <mergeCell ref="E13:F13"/>
    <mergeCell ref="E14:F14"/>
    <mergeCell ref="E15:F15"/>
    <mergeCell ref="E16:F16"/>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13"/>
  <sheetViews>
    <sheetView topLeftCell="B1" zoomScaleNormal="100" workbookViewId="0">
      <selection activeCell="G9" sqref="G9"/>
    </sheetView>
  </sheetViews>
  <sheetFormatPr defaultColWidth="8.85546875" defaultRowHeight="15" x14ac:dyDescent="0.25"/>
  <cols>
    <col min="1" max="1" width="37" customWidth="1"/>
    <col min="2" max="2" width="15.28515625" customWidth="1"/>
    <col min="3" max="3" width="5.42578125" customWidth="1"/>
    <col min="4" max="4" width="7.7109375" customWidth="1"/>
    <col min="5" max="5" width="16.42578125" customWidth="1"/>
    <col min="6" max="6" width="11.85546875" customWidth="1"/>
    <col min="7" max="7" width="11.28515625" customWidth="1"/>
    <col min="8" max="8" width="10.42578125" customWidth="1"/>
    <col min="9" max="9" width="12" customWidth="1"/>
    <col min="10" max="10" width="12.42578125" customWidth="1"/>
    <col min="11" max="11" width="12.140625" customWidth="1"/>
    <col min="12" max="12" width="10.42578125" customWidth="1"/>
    <col min="13" max="13" width="11.28515625" customWidth="1"/>
    <col min="14" max="14" width="10.7109375" customWidth="1"/>
    <col min="15" max="15" width="12.140625" customWidth="1"/>
    <col min="16" max="16" width="10.42578125" customWidth="1"/>
    <col min="17" max="17" width="11.140625" customWidth="1"/>
    <col min="18" max="18" width="12.140625" customWidth="1"/>
  </cols>
  <sheetData>
    <row r="1" spans="1:18" ht="60" x14ac:dyDescent="0.25">
      <c r="A1" s="3" t="s">
        <v>41</v>
      </c>
      <c r="B1" s="3" t="s">
        <v>42</v>
      </c>
      <c r="C1" s="3" t="s">
        <v>43</v>
      </c>
      <c r="D1" s="3" t="s">
        <v>44</v>
      </c>
      <c r="E1" s="12" t="s">
        <v>66</v>
      </c>
      <c r="F1" s="12" t="s">
        <v>69</v>
      </c>
      <c r="G1" s="20" t="s">
        <v>68</v>
      </c>
      <c r="H1" s="20" t="s">
        <v>70</v>
      </c>
      <c r="I1" s="20" t="s">
        <v>67</v>
      </c>
      <c r="J1" s="18" t="s">
        <v>38</v>
      </c>
      <c r="K1" s="18" t="s">
        <v>39</v>
      </c>
      <c r="L1" s="17" t="s">
        <v>29</v>
      </c>
      <c r="M1" s="17" t="s">
        <v>40</v>
      </c>
      <c r="N1" s="19" t="s">
        <v>24</v>
      </c>
      <c r="O1" s="17" t="s">
        <v>25</v>
      </c>
      <c r="P1" s="17" t="s">
        <v>35</v>
      </c>
      <c r="Q1" s="18" t="s">
        <v>71</v>
      </c>
      <c r="R1" s="17" t="s">
        <v>72</v>
      </c>
    </row>
    <row r="2" spans="1:18" x14ac:dyDescent="0.25">
      <c r="A2" s="3" t="s">
        <v>45</v>
      </c>
      <c r="B2" s="3" t="s">
        <v>46</v>
      </c>
      <c r="C2" s="3" t="s">
        <v>63</v>
      </c>
      <c r="D2" s="3">
        <v>36</v>
      </c>
      <c r="E2" s="13" t="s">
        <v>47</v>
      </c>
      <c r="F2" s="14">
        <v>1440.86</v>
      </c>
      <c r="G2" s="7">
        <f>F2*13</f>
        <v>18731.18</v>
      </c>
      <c r="H2" s="7">
        <f>32.4*12</f>
        <v>388.79999999999995</v>
      </c>
      <c r="I2" s="7">
        <v>10.09</v>
      </c>
      <c r="J2" s="1">
        <v>29</v>
      </c>
      <c r="K2" s="7">
        <f t="shared" ref="K2:K6" si="0">(I2+J2)*13</f>
        <v>508.17000000000007</v>
      </c>
      <c r="L2" s="7">
        <f>(G2+K2+H2)*0.085</f>
        <v>1668.39275</v>
      </c>
      <c r="M2" s="7">
        <f>SUM(G2:H2,L2)*0.238</f>
        <v>4947.6327144999996</v>
      </c>
      <c r="N2" s="15">
        <f>SUM(G2,H2,K2)*0.8*0.036</f>
        <v>565.29072000000008</v>
      </c>
      <c r="O2" s="7">
        <f>SUM(G2,H2,K2)*0.8*0.061</f>
        <v>957.85372000000007</v>
      </c>
      <c r="P2" s="7">
        <f>(SUM(G2,H2,K2)*22/1000)+(1%*(SUM(G2,H2,K2*22/1000)))</f>
        <v>623.13089740000009</v>
      </c>
      <c r="Q2" s="16">
        <v>1</v>
      </c>
      <c r="R2" s="7">
        <f>Q2*SUM(P2,M2,K2,H2,G2,O2)</f>
        <v>26156.767331899999</v>
      </c>
    </row>
    <row r="3" spans="1:18" x14ac:dyDescent="0.25">
      <c r="A3" s="3" t="s">
        <v>49</v>
      </c>
      <c r="B3" s="3" t="s">
        <v>48</v>
      </c>
      <c r="C3" s="3" t="s">
        <v>64</v>
      </c>
      <c r="D3" s="3">
        <v>36</v>
      </c>
      <c r="E3" s="13" t="s">
        <v>50</v>
      </c>
      <c r="F3" s="14">
        <v>1639.16</v>
      </c>
      <c r="G3" s="7">
        <f t="shared" ref="G3:G6" si="1">F3*13</f>
        <v>21309.08</v>
      </c>
      <c r="H3" s="7">
        <f t="shared" ref="H3" si="2">39.31*12</f>
        <v>471.72</v>
      </c>
      <c r="I3" s="7">
        <v>11.47</v>
      </c>
      <c r="J3" s="7">
        <v>23</v>
      </c>
      <c r="K3" s="7">
        <f t="shared" si="0"/>
        <v>448.11</v>
      </c>
      <c r="L3" s="7">
        <f t="shared" ref="L3:L8" si="3">(G3+K3+H3)*0.085</f>
        <v>1889.4573500000004</v>
      </c>
      <c r="M3" s="7">
        <f t="shared" ref="M3:M12" si="4">SUM(G3:H3,L3)*0.238</f>
        <v>5633.5212493000008</v>
      </c>
      <c r="N3" s="15">
        <f t="shared" ref="N3:N6" si="5">SUM(G3,H3,K3)*0.8*0.036</f>
        <v>640.19260800000006</v>
      </c>
      <c r="O3" s="7">
        <f t="shared" ref="O3:O6" si="6">SUM(G3,H3,K3)*0.8*0.061</f>
        <v>1084.7708080000002</v>
      </c>
      <c r="P3" s="7">
        <f t="shared" ref="P3:P12" si="7">(SUM(G3,H3,K3)*22/1000)+(1%*(SUM(G3,H3,K3*22/1000)))</f>
        <v>706.94260420000012</v>
      </c>
      <c r="Q3" s="7">
        <v>1</v>
      </c>
      <c r="R3" s="7">
        <f t="shared" ref="R3:R12" si="8">Q3*SUM(P3,M3,K3,H3,G3,O3)</f>
        <v>29654.144661500002</v>
      </c>
    </row>
    <row r="4" spans="1:18" x14ac:dyDescent="0.25">
      <c r="A4" s="3" t="s">
        <v>53</v>
      </c>
      <c r="B4" s="3" t="s">
        <v>54</v>
      </c>
      <c r="C4" s="3" t="s">
        <v>65</v>
      </c>
      <c r="D4" s="3">
        <v>36</v>
      </c>
      <c r="E4" s="13" t="s">
        <v>55</v>
      </c>
      <c r="F4" s="14">
        <v>1844.62</v>
      </c>
      <c r="G4" s="7">
        <f t="shared" si="1"/>
        <v>23980.059999999998</v>
      </c>
      <c r="H4" s="7">
        <f t="shared" ref="H4:H6" si="9">51.9*12</f>
        <v>622.79999999999995</v>
      </c>
      <c r="I4" s="7">
        <v>12.91</v>
      </c>
      <c r="J4" s="7">
        <v>19</v>
      </c>
      <c r="K4" s="7">
        <f t="shared" si="0"/>
        <v>414.83</v>
      </c>
      <c r="L4" s="7">
        <f t="shared" si="3"/>
        <v>2126.5036500000001</v>
      </c>
      <c r="M4" s="7">
        <f t="shared" si="4"/>
        <v>6361.5885486999987</v>
      </c>
      <c r="N4" s="15">
        <f t="shared" si="5"/>
        <v>720.50947199999996</v>
      </c>
      <c r="O4" s="7">
        <f t="shared" si="6"/>
        <v>1220.8632720000001</v>
      </c>
      <c r="P4" s="7">
        <f t="shared" si="7"/>
        <v>796.50904259999993</v>
      </c>
      <c r="Q4" s="7">
        <v>1</v>
      </c>
      <c r="R4" s="7">
        <f>Q4*SUM(P4,M4,K4,H4,G4,O4)</f>
        <v>33396.650863299998</v>
      </c>
    </row>
    <row r="5" spans="1:18" x14ac:dyDescent="0.25">
      <c r="A5" s="3" t="s">
        <v>56</v>
      </c>
      <c r="B5" s="3" t="s">
        <v>57</v>
      </c>
      <c r="C5" s="3" t="s">
        <v>65</v>
      </c>
      <c r="D5" s="3">
        <v>30</v>
      </c>
      <c r="E5" s="13" t="s">
        <v>55</v>
      </c>
      <c r="F5" s="14">
        <v>1844.62</v>
      </c>
      <c r="G5" s="7">
        <f t="shared" si="1"/>
        <v>23980.059999999998</v>
      </c>
      <c r="H5" s="7">
        <f t="shared" si="9"/>
        <v>622.79999999999995</v>
      </c>
      <c r="I5" s="7">
        <v>12.91</v>
      </c>
      <c r="J5" s="7">
        <v>19</v>
      </c>
      <c r="K5" s="7">
        <f t="shared" si="0"/>
        <v>414.83</v>
      </c>
      <c r="L5" s="7">
        <f t="shared" si="3"/>
        <v>2126.5036500000001</v>
      </c>
      <c r="M5" s="7">
        <f t="shared" si="4"/>
        <v>6361.5885486999987</v>
      </c>
      <c r="N5" s="15">
        <f t="shared" si="5"/>
        <v>720.50947199999996</v>
      </c>
      <c r="O5" s="7">
        <f>SUM(G5,H5,K5)*0.8*0.061</f>
        <v>1220.8632720000001</v>
      </c>
      <c r="P5" s="7">
        <f t="shared" si="7"/>
        <v>796.50904259999993</v>
      </c>
      <c r="Q5" s="7">
        <v>0.83</v>
      </c>
      <c r="R5" s="7">
        <f>Q5*SUM(P5,M5,K5,H5,G5,O5)</f>
        <v>27719.220216538997</v>
      </c>
    </row>
    <row r="6" spans="1:18" x14ac:dyDescent="0.25">
      <c r="A6" s="3" t="s">
        <v>58</v>
      </c>
      <c r="B6" s="3" t="s">
        <v>60</v>
      </c>
      <c r="C6" s="3" t="s">
        <v>65</v>
      </c>
      <c r="D6" s="3">
        <v>36</v>
      </c>
      <c r="E6" s="13" t="s">
        <v>55</v>
      </c>
      <c r="F6" s="14">
        <v>1844.62</v>
      </c>
      <c r="G6" s="7">
        <f t="shared" si="1"/>
        <v>23980.059999999998</v>
      </c>
      <c r="H6" s="7">
        <f t="shared" si="9"/>
        <v>622.79999999999995</v>
      </c>
      <c r="I6" s="7">
        <v>12.91</v>
      </c>
      <c r="J6" s="7">
        <v>19</v>
      </c>
      <c r="K6" s="7">
        <f t="shared" si="0"/>
        <v>414.83</v>
      </c>
      <c r="L6" s="7">
        <f t="shared" si="3"/>
        <v>2126.5036500000001</v>
      </c>
      <c r="M6" s="7">
        <f t="shared" si="4"/>
        <v>6361.5885486999987</v>
      </c>
      <c r="N6" s="15">
        <f t="shared" si="5"/>
        <v>720.50947199999996</v>
      </c>
      <c r="O6" s="7">
        <f t="shared" si="6"/>
        <v>1220.8632720000001</v>
      </c>
      <c r="P6" s="7">
        <f t="shared" si="7"/>
        <v>796.50904259999993</v>
      </c>
      <c r="Q6" s="7">
        <v>0.5</v>
      </c>
      <c r="R6" s="7">
        <f>Q6*SUM(P6,M6,K6,H6,G6,O6)</f>
        <v>16698.325431649999</v>
      </c>
    </row>
    <row r="7" spans="1:18" x14ac:dyDescent="0.25">
      <c r="A7" s="3"/>
      <c r="B7" s="3"/>
      <c r="C7" s="3"/>
      <c r="D7" s="3"/>
      <c r="E7" s="142" t="s">
        <v>26</v>
      </c>
      <c r="F7" s="143"/>
      <c r="G7" s="7">
        <v>18975</v>
      </c>
      <c r="H7" s="7"/>
      <c r="I7" s="7"/>
      <c r="J7" s="7"/>
      <c r="K7" s="7"/>
      <c r="L7" s="7">
        <f t="shared" si="3"/>
        <v>1612.8750000000002</v>
      </c>
      <c r="M7" s="7">
        <f t="shared" si="4"/>
        <v>4899.9142499999998</v>
      </c>
      <c r="N7" s="15">
        <f>SUM(G7,H7,K26)*0.8*0.036</f>
        <v>546.4799999999999</v>
      </c>
      <c r="O7" s="7">
        <f t="shared" ref="O7:O12" si="10">SUM(G7:K7)*0.8*0.061</f>
        <v>925.98</v>
      </c>
      <c r="P7" s="7">
        <f t="shared" si="7"/>
        <v>607.20000000000005</v>
      </c>
      <c r="Q7" s="7">
        <v>1</v>
      </c>
      <c r="R7" s="7">
        <f t="shared" si="8"/>
        <v>25408.094249999998</v>
      </c>
    </row>
    <row r="8" spans="1:18" x14ac:dyDescent="0.25">
      <c r="A8" s="3"/>
      <c r="B8" s="3"/>
      <c r="C8" s="3"/>
      <c r="D8" s="3"/>
      <c r="E8" s="142" t="s">
        <v>27</v>
      </c>
      <c r="F8" s="143"/>
      <c r="G8" s="7">
        <v>7705.7099999999991</v>
      </c>
      <c r="H8" s="7"/>
      <c r="I8" s="7"/>
      <c r="J8" s="7"/>
      <c r="K8" s="7"/>
      <c r="L8" s="7">
        <f t="shared" si="3"/>
        <v>654.98534999999993</v>
      </c>
      <c r="M8" s="7">
        <f t="shared" si="4"/>
        <v>1989.8454932999994</v>
      </c>
      <c r="N8" s="15">
        <f>SUM(G8,H8,K27)*0.8*0.036</f>
        <v>221.92444799999996</v>
      </c>
      <c r="O8" s="7">
        <f t="shared" si="10"/>
        <v>376.03864799999997</v>
      </c>
      <c r="P8" s="7">
        <f t="shared" si="7"/>
        <v>246.58271999999999</v>
      </c>
      <c r="Q8" s="7">
        <v>1</v>
      </c>
      <c r="R8" s="7">
        <f t="shared" si="8"/>
        <v>10318.176861299999</v>
      </c>
    </row>
    <row r="9" spans="1:18" x14ac:dyDescent="0.25">
      <c r="A9" s="3"/>
      <c r="B9" s="3"/>
      <c r="C9" s="3"/>
      <c r="D9" s="3"/>
      <c r="E9" s="142" t="s">
        <v>33</v>
      </c>
      <c r="F9" s="143"/>
      <c r="G9" s="7">
        <v>2350</v>
      </c>
      <c r="H9" s="7"/>
      <c r="I9" s="7"/>
      <c r="J9" s="7"/>
      <c r="K9" s="7"/>
      <c r="L9" s="7"/>
      <c r="M9" s="7"/>
      <c r="N9" s="15"/>
      <c r="O9" s="7"/>
      <c r="P9" s="7"/>
      <c r="Q9" s="7">
        <v>1</v>
      </c>
      <c r="R9" s="7">
        <f t="shared" si="8"/>
        <v>2350</v>
      </c>
    </row>
    <row r="10" spans="1:18" x14ac:dyDescent="0.25">
      <c r="A10" s="3"/>
      <c r="B10" s="3"/>
      <c r="C10" s="3"/>
      <c r="D10" s="3"/>
      <c r="E10" s="142" t="s">
        <v>34</v>
      </c>
      <c r="F10" s="144"/>
      <c r="G10" s="143"/>
      <c r="H10" s="7"/>
      <c r="I10" s="7"/>
      <c r="J10" s="7"/>
      <c r="K10" s="7"/>
      <c r="L10" s="7"/>
      <c r="M10" s="7"/>
      <c r="N10" s="15">
        <f t="shared" ref="N10:N12" si="11">SUM(G10,H10,K30)*0.8*0.036</f>
        <v>0</v>
      </c>
      <c r="O10" s="7"/>
      <c r="P10" s="7">
        <f t="shared" si="7"/>
        <v>0</v>
      </c>
      <c r="Q10" s="7"/>
      <c r="R10" s="7">
        <f t="shared" si="8"/>
        <v>0</v>
      </c>
    </row>
    <row r="11" spans="1:18" x14ac:dyDescent="0.25">
      <c r="A11" s="3"/>
      <c r="B11" s="3"/>
      <c r="C11" s="3"/>
      <c r="D11" s="3"/>
      <c r="E11" s="142" t="s">
        <v>37</v>
      </c>
      <c r="F11" s="144"/>
      <c r="G11" s="143"/>
      <c r="H11" s="7"/>
      <c r="I11" s="7"/>
      <c r="J11" s="7"/>
      <c r="K11" s="7"/>
      <c r="L11" s="7"/>
      <c r="M11" s="7">
        <f t="shared" si="4"/>
        <v>0</v>
      </c>
      <c r="N11" s="15">
        <f t="shared" si="11"/>
        <v>0</v>
      </c>
      <c r="O11" s="7">
        <f t="shared" si="10"/>
        <v>0</v>
      </c>
      <c r="P11" s="7">
        <f t="shared" si="7"/>
        <v>0</v>
      </c>
      <c r="Q11" s="7"/>
      <c r="R11" s="7">
        <f t="shared" si="8"/>
        <v>0</v>
      </c>
    </row>
    <row r="12" spans="1:18" x14ac:dyDescent="0.25">
      <c r="A12" s="3"/>
      <c r="B12" s="3"/>
      <c r="C12" s="3"/>
      <c r="D12" s="3"/>
      <c r="E12" s="142" t="s">
        <v>73</v>
      </c>
      <c r="F12" s="143"/>
      <c r="G12" s="7">
        <f>9855.46+3400</f>
        <v>13255.46</v>
      </c>
      <c r="H12" s="7"/>
      <c r="I12" s="7"/>
      <c r="J12" s="7"/>
      <c r="K12" s="7"/>
      <c r="L12" s="7">
        <f t="shared" ref="L12" si="12">(G12+K12+H12)*0.085</f>
        <v>1126.7140999999999</v>
      </c>
      <c r="M12" s="7">
        <f t="shared" si="4"/>
        <v>3422.9574357999995</v>
      </c>
      <c r="N12" s="15">
        <f t="shared" si="11"/>
        <v>381.757248</v>
      </c>
      <c r="O12" s="7">
        <f t="shared" si="10"/>
        <v>646.86644799999999</v>
      </c>
      <c r="P12" s="7">
        <f t="shared" si="7"/>
        <v>424.17471999999998</v>
      </c>
      <c r="Q12" s="7">
        <v>1</v>
      </c>
      <c r="R12" s="7">
        <f t="shared" si="8"/>
        <v>17749.458603799998</v>
      </c>
    </row>
    <row r="13" spans="1:18" x14ac:dyDescent="0.25">
      <c r="N13" s="11"/>
      <c r="Q13" s="9"/>
      <c r="R13" s="1">
        <f>SUM(R2:R12)</f>
        <v>189450.83821998897</v>
      </c>
    </row>
  </sheetData>
  <mergeCells count="6">
    <mergeCell ref="E12:F12"/>
    <mergeCell ref="E7:F7"/>
    <mergeCell ref="E8:F8"/>
    <mergeCell ref="E9:F9"/>
    <mergeCell ref="E10:G10"/>
    <mergeCell ref="E11:G11"/>
  </mergeCells>
  <pageMargins left="0.7" right="0.7" top="0.75" bottom="0.75" header="0.3" footer="0.3"/>
  <pageSetup paperSize="9" orientation="portrait" horizontalDpi="0" verticalDpi="0"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U80"/>
  <sheetViews>
    <sheetView tabSelected="1" topLeftCell="A76" workbookViewId="0">
      <selection activeCell="A78" sqref="A78:D80"/>
    </sheetView>
  </sheetViews>
  <sheetFormatPr defaultRowHeight="15" x14ac:dyDescent="0.25"/>
  <cols>
    <col min="1" max="1" width="35.42578125" customWidth="1"/>
    <col min="2" max="2" width="18.5703125" customWidth="1"/>
    <col min="4" max="4" width="8.42578125" customWidth="1"/>
    <col min="6" max="6" width="7.85546875" customWidth="1"/>
    <col min="7" max="7" width="17.28515625" customWidth="1"/>
    <col min="8" max="8" width="11.28515625" customWidth="1"/>
    <col min="9" max="9" width="11.5703125" customWidth="1"/>
    <col min="10" max="10" width="12.7109375" customWidth="1"/>
    <col min="11" max="11" width="11.28515625" customWidth="1"/>
    <col min="12" max="12" width="11" customWidth="1"/>
    <col min="13" max="13" width="8.85546875" customWidth="1"/>
    <col min="15" max="16" width="8.140625" customWidth="1"/>
    <col min="17" max="17" width="12.5703125" customWidth="1"/>
    <col min="18" max="18" width="10.140625" bestFit="1" customWidth="1"/>
    <col min="19" max="19" width="13.140625" bestFit="1" customWidth="1"/>
    <col min="20" max="20" width="12" bestFit="1" customWidth="1"/>
    <col min="21" max="21" width="10.140625" bestFit="1" customWidth="1"/>
  </cols>
  <sheetData>
    <row r="1" spans="1:21" x14ac:dyDescent="0.25">
      <c r="A1" s="163" t="s">
        <v>122</v>
      </c>
      <c r="B1" s="163"/>
      <c r="C1" s="163"/>
      <c r="D1" s="163"/>
      <c r="E1" s="163"/>
      <c r="F1" s="163"/>
      <c r="G1" s="163"/>
      <c r="H1" s="163"/>
      <c r="I1" s="163"/>
      <c r="J1" s="163"/>
      <c r="K1" s="163"/>
      <c r="L1" s="163"/>
      <c r="M1" s="163"/>
      <c r="N1" s="163"/>
      <c r="O1" s="163"/>
      <c r="P1" s="163"/>
      <c r="Q1" s="164"/>
    </row>
    <row r="2" spans="1:21" ht="3" customHeight="1" thickBot="1" x14ac:dyDescent="0.3">
      <c r="A2" s="165"/>
      <c r="B2" s="165"/>
      <c r="C2" s="165"/>
      <c r="D2" s="165"/>
      <c r="E2" s="165"/>
      <c r="F2" s="165"/>
      <c r="G2" s="165"/>
      <c r="H2" s="165"/>
      <c r="I2" s="165"/>
      <c r="J2" s="165"/>
      <c r="K2" s="165"/>
      <c r="L2" s="165"/>
      <c r="M2" s="165"/>
      <c r="N2" s="167"/>
      <c r="O2" s="165"/>
      <c r="P2" s="165"/>
      <c r="Q2" s="166"/>
    </row>
    <row r="3" spans="1:21" ht="40.5" customHeight="1" thickBot="1" x14ac:dyDescent="0.3">
      <c r="A3" s="46" t="s">
        <v>79</v>
      </c>
      <c r="B3" s="59" t="s">
        <v>84</v>
      </c>
      <c r="C3" s="46" t="s">
        <v>107</v>
      </c>
      <c r="D3" s="46" t="s">
        <v>113</v>
      </c>
      <c r="E3" s="46" t="s">
        <v>120</v>
      </c>
      <c r="F3" s="46" t="s">
        <v>44</v>
      </c>
      <c r="G3" s="46" t="s">
        <v>121</v>
      </c>
      <c r="H3" s="46" t="s">
        <v>83</v>
      </c>
      <c r="I3" s="60" t="s">
        <v>119</v>
      </c>
      <c r="J3" s="60" t="s">
        <v>123</v>
      </c>
      <c r="K3" s="60" t="s">
        <v>118</v>
      </c>
      <c r="L3" s="60" t="s">
        <v>117</v>
      </c>
      <c r="M3" s="60" t="s">
        <v>116</v>
      </c>
      <c r="N3" s="60" t="s">
        <v>124</v>
      </c>
      <c r="O3" s="119" t="s">
        <v>125</v>
      </c>
      <c r="P3" s="60" t="s">
        <v>115</v>
      </c>
      <c r="Q3" s="82" t="s">
        <v>104</v>
      </c>
    </row>
    <row r="4" spans="1:21" x14ac:dyDescent="0.25">
      <c r="A4" s="122" t="s">
        <v>160</v>
      </c>
      <c r="B4" s="63" t="s">
        <v>111</v>
      </c>
      <c r="C4" s="63">
        <v>1</v>
      </c>
      <c r="D4" s="63" t="s">
        <v>89</v>
      </c>
      <c r="E4" s="64" t="s">
        <v>65</v>
      </c>
      <c r="F4" s="64">
        <v>36</v>
      </c>
      <c r="G4" s="63" t="s">
        <v>55</v>
      </c>
      <c r="H4" s="65">
        <v>1934.36</v>
      </c>
      <c r="I4" s="66">
        <f>(H4*10)</f>
        <v>19343.599999999999</v>
      </c>
      <c r="J4" s="66">
        <f>(I4+L4)*0.8*0.025</f>
        <v>406.58729999999997</v>
      </c>
      <c r="K4" s="66">
        <f>51.9*10.5</f>
        <v>544.94999999999993</v>
      </c>
      <c r="L4" s="66">
        <f>1138.19-(93.8*1.5)-(93.8*1.5/12)</f>
        <v>985.76499999999999</v>
      </c>
      <c r="M4" s="66">
        <f>(I4+K4+L4)*0.238</f>
        <v>4968.0869699999994</v>
      </c>
      <c r="N4" s="50">
        <f t="shared" ref="N4:N7" si="0">(SUM(I4,L4)*0.8*0.061)</f>
        <v>992.07301199999984</v>
      </c>
      <c r="O4" s="66"/>
      <c r="P4" s="67">
        <v>1</v>
      </c>
      <c r="Q4" s="68">
        <f>P4*(I4-J4+K4+L4+M4+N4)</f>
        <v>26427.887682</v>
      </c>
      <c r="R4" s="97"/>
      <c r="S4" s="1"/>
    </row>
    <row r="5" spans="1:21" x14ac:dyDescent="0.25">
      <c r="A5" s="77" t="s">
        <v>134</v>
      </c>
      <c r="B5" s="70" t="s">
        <v>111</v>
      </c>
      <c r="C5" s="51">
        <v>1</v>
      </c>
      <c r="D5" s="78" t="s">
        <v>89</v>
      </c>
      <c r="E5" s="70" t="s">
        <v>65</v>
      </c>
      <c r="F5" s="70">
        <v>36</v>
      </c>
      <c r="G5" s="51" t="s">
        <v>108</v>
      </c>
      <c r="H5" s="61">
        <f>2025.66</f>
        <v>2025.66</v>
      </c>
      <c r="I5" s="49">
        <f t="shared" ref="I5:I7" si="1">H5*13</f>
        <v>26333.58</v>
      </c>
      <c r="J5" s="49">
        <f>(I5+L5)*0.8*0.025</f>
        <v>550.35580000000016</v>
      </c>
      <c r="K5" s="49">
        <f>51.9*12</f>
        <v>622.79999999999995</v>
      </c>
      <c r="L5" s="49">
        <v>1184.21</v>
      </c>
      <c r="M5" s="49">
        <f t="shared" ref="M5:M6" si="2">(I5+K5+L5)*0.238</f>
        <v>6697.4604199999994</v>
      </c>
      <c r="N5" s="49">
        <f t="shared" si="0"/>
        <v>1342.8681520000002</v>
      </c>
      <c r="O5" s="49"/>
      <c r="P5" s="49">
        <f>+F5/36</f>
        <v>1</v>
      </c>
      <c r="Q5" s="76">
        <f t="shared" ref="Q5:Q6" si="3">P5*(I5-J5+K5+L5+M5+N5)</f>
        <v>35630.562771999997</v>
      </c>
      <c r="S5" s="1"/>
      <c r="T5" s="98"/>
    </row>
    <row r="6" spans="1:21" x14ac:dyDescent="0.25">
      <c r="A6" s="79" t="s">
        <v>135</v>
      </c>
      <c r="B6" s="80" t="s">
        <v>111</v>
      </c>
      <c r="C6" s="71">
        <v>1</v>
      </c>
      <c r="D6" s="71" t="s">
        <v>89</v>
      </c>
      <c r="E6" s="80" t="s">
        <v>65</v>
      </c>
      <c r="F6" s="80">
        <v>36</v>
      </c>
      <c r="G6" s="71" t="s">
        <v>55</v>
      </c>
      <c r="H6" s="81">
        <v>1934.36</v>
      </c>
      <c r="I6" s="50">
        <f t="shared" si="1"/>
        <v>25146.68</v>
      </c>
      <c r="J6" s="50">
        <f t="shared" ref="J6:J7" si="4">(I6+L6)*0.8*0.025</f>
        <v>525.69740000000002</v>
      </c>
      <c r="K6" s="50">
        <f>51.9*12</f>
        <v>622.79999999999995</v>
      </c>
      <c r="L6" s="50">
        <v>1138.19</v>
      </c>
      <c r="M6" s="49">
        <f t="shared" si="2"/>
        <v>6404.0254599999989</v>
      </c>
      <c r="N6" s="49">
        <f t="shared" si="0"/>
        <v>1282.701656</v>
      </c>
      <c r="O6" s="50"/>
      <c r="P6" s="50">
        <v>1</v>
      </c>
      <c r="Q6" s="76">
        <f t="shared" si="3"/>
        <v>34068.699715999996</v>
      </c>
      <c r="R6" s="97"/>
      <c r="S6" s="1"/>
    </row>
    <row r="7" spans="1:21" x14ac:dyDescent="0.25">
      <c r="A7" s="69" t="s">
        <v>112</v>
      </c>
      <c r="B7" s="70" t="s">
        <v>111</v>
      </c>
      <c r="C7" s="71">
        <v>1</v>
      </c>
      <c r="D7" s="72" t="s">
        <v>89</v>
      </c>
      <c r="E7" s="73" t="s">
        <v>76</v>
      </c>
      <c r="F7" s="73">
        <v>36</v>
      </c>
      <c r="G7" s="72" t="s">
        <v>52</v>
      </c>
      <c r="H7" s="74">
        <v>1782.74</v>
      </c>
      <c r="I7" s="75">
        <f t="shared" si="1"/>
        <v>23175.62</v>
      </c>
      <c r="J7" s="50">
        <f t="shared" si="4"/>
        <v>484.48919999999998</v>
      </c>
      <c r="K7" s="75">
        <f>45.8*12</f>
        <v>549.59999999999991</v>
      </c>
      <c r="L7" s="75">
        <v>1048.8400000000004</v>
      </c>
      <c r="M7" s="49">
        <f>(I7+K7+L7)*0.238</f>
        <v>5896.226279999999</v>
      </c>
      <c r="N7" s="49">
        <f t="shared" si="0"/>
        <v>1182.153648</v>
      </c>
      <c r="O7" s="75"/>
      <c r="P7" s="75">
        <v>1</v>
      </c>
      <c r="Q7" s="76">
        <f>P7*(I7-J7+K7+L7+M7+N7)</f>
        <v>31367.950727999996</v>
      </c>
      <c r="R7" s="97"/>
      <c r="S7" s="1"/>
      <c r="U7" s="1"/>
    </row>
    <row r="8" spans="1:21" s="33" customFormat="1" hidden="1" x14ac:dyDescent="0.25">
      <c r="A8" s="77"/>
      <c r="B8" s="80"/>
      <c r="C8" s="51"/>
      <c r="D8" s="118"/>
      <c r="E8" s="73"/>
      <c r="F8" s="73"/>
      <c r="G8" s="72"/>
      <c r="H8" s="74"/>
      <c r="I8" s="75"/>
      <c r="J8" s="107"/>
      <c r="K8" s="75"/>
      <c r="L8" s="75"/>
      <c r="M8" s="75"/>
      <c r="N8" s="75"/>
      <c r="O8" s="49"/>
      <c r="P8" s="52"/>
      <c r="Q8" s="76"/>
      <c r="R8" s="136"/>
      <c r="S8" s="137"/>
      <c r="U8" s="137"/>
    </row>
    <row r="9" spans="1:21" x14ac:dyDescent="0.25">
      <c r="A9" s="120" t="s">
        <v>99</v>
      </c>
      <c r="B9" s="70" t="s">
        <v>111</v>
      </c>
      <c r="C9" s="51">
        <v>1</v>
      </c>
      <c r="D9" s="114" t="s">
        <v>89</v>
      </c>
      <c r="E9" s="70" t="s">
        <v>76</v>
      </c>
      <c r="F9" s="70">
        <v>18</v>
      </c>
      <c r="G9" s="51" t="s">
        <v>52</v>
      </c>
      <c r="H9" s="61">
        <f>1782.74*0.5</f>
        <v>891.37</v>
      </c>
      <c r="I9" s="49">
        <f>(H9*13)</f>
        <v>11587.81</v>
      </c>
      <c r="J9" s="49">
        <f>(I9+L9)*0.8*0.025</f>
        <v>234.07410000000002</v>
      </c>
      <c r="K9" s="49">
        <f>(45.8*12)*0.5</f>
        <v>274.79999999999995</v>
      </c>
      <c r="L9" s="49">
        <f>17.83*13*0.5</f>
        <v>115.89499999999998</v>
      </c>
      <c r="M9" s="49">
        <f>(I9+K9+L9)*0.238</f>
        <v>2850.8841899999998</v>
      </c>
      <c r="N9" s="49">
        <f>(SUM(I9,L9)*0.8*0.061)</f>
        <v>571.140804</v>
      </c>
      <c r="O9" s="49"/>
      <c r="P9" s="49">
        <v>0.5</v>
      </c>
      <c r="Q9" s="76">
        <f>(I9-J9+K9+L9+M9+N9)</f>
        <v>15166.455894000001</v>
      </c>
    </row>
    <row r="10" spans="1:21" ht="45" x14ac:dyDescent="0.25">
      <c r="A10" s="139" t="s">
        <v>158</v>
      </c>
      <c r="B10" s="80" t="s">
        <v>111</v>
      </c>
      <c r="C10" s="51">
        <v>1</v>
      </c>
      <c r="D10" s="118" t="s">
        <v>89</v>
      </c>
      <c r="E10" s="73" t="s">
        <v>155</v>
      </c>
      <c r="F10" s="73">
        <v>30</v>
      </c>
      <c r="G10" s="72" t="s">
        <v>64</v>
      </c>
      <c r="H10" s="74">
        <f>1672.74*0.8333</f>
        <v>1393.8942420000001</v>
      </c>
      <c r="I10" s="75">
        <f>H10*10</f>
        <v>13938.942420000001</v>
      </c>
      <c r="J10" s="107">
        <f>(I10+L10)*0.8*0.025</f>
        <v>295.05136414000009</v>
      </c>
      <c r="K10" s="75">
        <f>(39.31*12)*0.8333</f>
        <v>393.08427600000005</v>
      </c>
      <c r="L10" s="75">
        <v>813.62578700000017</v>
      </c>
      <c r="M10" s="75">
        <f>(I10+K10+L10)*0.238</f>
        <v>3604.6652909540003</v>
      </c>
      <c r="N10" s="75">
        <f t="shared" ref="N10" si="5">(SUM(I10,L10)*0.8*0.061)</f>
        <v>719.92532850160012</v>
      </c>
      <c r="O10" s="49"/>
      <c r="P10" s="52">
        <v>0.83330000000000004</v>
      </c>
      <c r="Q10" s="76">
        <f>(I10-J10+K10+L10+M10+N10)</f>
        <v>19175.1917383156</v>
      </c>
    </row>
    <row r="11" spans="1:21" ht="30" x14ac:dyDescent="0.25">
      <c r="A11" s="123" t="s">
        <v>137</v>
      </c>
      <c r="B11" s="70" t="s">
        <v>129</v>
      </c>
      <c r="C11" s="51">
        <v>1</v>
      </c>
      <c r="D11" s="78" t="s">
        <v>130</v>
      </c>
      <c r="E11" s="70" t="s">
        <v>76</v>
      </c>
      <c r="F11" s="70">
        <v>12</v>
      </c>
      <c r="G11" s="51" t="s">
        <v>52</v>
      </c>
      <c r="H11" s="61">
        <f>1782.74/36*12</f>
        <v>594.24666666666667</v>
      </c>
      <c r="I11" s="49">
        <f>(H11*4)+(H11*4/12)</f>
        <v>2575.068888888889</v>
      </c>
      <c r="J11" s="49">
        <f>(I11+L11)*0.8*0.025</f>
        <v>53.37424444444445</v>
      </c>
      <c r="K11" s="49">
        <f>(45.8*2)*0.5</f>
        <v>45.8</v>
      </c>
      <c r="L11" s="49">
        <f>(86.44*2)*0.5+(86.44*2/12)*0.5</f>
        <v>93.643333333333331</v>
      </c>
      <c r="M11" s="49">
        <f>(I11+K11+L11)*0.238</f>
        <v>646.05390888888894</v>
      </c>
      <c r="N11" s="49">
        <f t="shared" ref="N11:N12" si="6">(SUM(I11,L11)*0.8*0.061)</f>
        <v>130.23315644444443</v>
      </c>
      <c r="O11" s="115"/>
      <c r="P11" s="49">
        <f>(12/36)/12*4</f>
        <v>0.1111111111111111</v>
      </c>
      <c r="Q11" s="76">
        <f>(I11-J11+K11+L11+M11+N11)</f>
        <v>3437.4250431111118</v>
      </c>
      <c r="R11" s="97"/>
      <c r="S11" s="1"/>
      <c r="U11" s="1"/>
    </row>
    <row r="12" spans="1:21" ht="30.75" thickBot="1" x14ac:dyDescent="0.3">
      <c r="A12" s="124" t="s">
        <v>138</v>
      </c>
      <c r="B12" s="108" t="s">
        <v>129</v>
      </c>
      <c r="C12" s="109">
        <v>1</v>
      </c>
      <c r="D12" s="110" t="s">
        <v>139</v>
      </c>
      <c r="E12" s="108" t="s">
        <v>65</v>
      </c>
      <c r="F12" s="108">
        <v>12</v>
      </c>
      <c r="G12" s="109" t="s">
        <v>55</v>
      </c>
      <c r="H12" s="111">
        <f>1934.36/36*12</f>
        <v>644.78666666666663</v>
      </c>
      <c r="I12" s="112">
        <f>(H12*6)+(H12*6/12)</f>
        <v>4191.1133333333328</v>
      </c>
      <c r="J12" s="112">
        <f>(I12+L12)*0.8*0.025</f>
        <v>85.577916666666681</v>
      </c>
      <c r="K12" s="112">
        <f>51.9*1.5*0.5</f>
        <v>38.924999999999997</v>
      </c>
      <c r="L12" s="112">
        <f>108.04*1.5*0.5+ (108.04*1.5*0.5)/12</f>
        <v>87.782499999999999</v>
      </c>
      <c r="M12" s="112">
        <f>(I12+K12+L12)*0.238</f>
        <v>1027.6413583333333</v>
      </c>
      <c r="N12" s="112">
        <f t="shared" si="6"/>
        <v>208.81011666666666</v>
      </c>
      <c r="O12" s="112"/>
      <c r="P12" s="49">
        <f>(12/36)/12*6</f>
        <v>0.16666666666666666</v>
      </c>
      <c r="Q12" s="113">
        <f>(I12-J12+K12+L12+M12+N12)</f>
        <v>5468.694391666666</v>
      </c>
      <c r="R12" s="98">
        <f>Q11+Q12</f>
        <v>8906.1194347777782</v>
      </c>
      <c r="S12" s="1"/>
      <c r="U12" s="1"/>
    </row>
    <row r="13" spans="1:21" x14ac:dyDescent="0.25">
      <c r="A13" s="99"/>
      <c r="B13" s="99"/>
      <c r="C13" s="100"/>
      <c r="D13" s="100"/>
      <c r="E13" s="101"/>
      <c r="F13" s="101"/>
      <c r="G13" s="168" t="s">
        <v>114</v>
      </c>
      <c r="H13" s="169"/>
      <c r="I13" s="116"/>
      <c r="J13" s="116"/>
      <c r="K13" s="116"/>
      <c r="L13" s="117"/>
      <c r="M13" s="116"/>
      <c r="N13" s="116"/>
      <c r="O13" s="3"/>
      <c r="P13" s="3"/>
      <c r="Q13" s="53">
        <v>899.46</v>
      </c>
      <c r="R13" s="98"/>
      <c r="S13" s="1"/>
      <c r="T13" s="1"/>
      <c r="U13" s="102"/>
    </row>
    <row r="14" spans="1:21" ht="24.6" customHeight="1" x14ac:dyDescent="0.25">
      <c r="A14" s="170"/>
      <c r="B14" s="170"/>
      <c r="C14" s="170"/>
      <c r="D14" s="170"/>
      <c r="E14" s="170"/>
      <c r="F14" s="171"/>
      <c r="G14" s="156" t="s">
        <v>131</v>
      </c>
      <c r="H14" s="157"/>
      <c r="I14" s="50">
        <v>30317.391304347828</v>
      </c>
      <c r="J14" s="50"/>
      <c r="K14" s="50"/>
      <c r="L14" s="50"/>
      <c r="M14" s="50">
        <f>+I14*23.8%</f>
        <v>7215.5391304347831</v>
      </c>
      <c r="N14" s="50"/>
      <c r="O14" s="50">
        <f>I14*0.0691</f>
        <v>2094.9317391304348</v>
      </c>
      <c r="P14" s="50"/>
      <c r="Q14" s="53">
        <f>SUM(O14,M14,N14,K14,I14)</f>
        <v>39627.862173913047</v>
      </c>
      <c r="R14" s="97"/>
      <c r="S14" s="1"/>
      <c r="U14" s="1"/>
    </row>
    <row r="15" spans="1:21" ht="18.75" customHeight="1" x14ac:dyDescent="0.25">
      <c r="A15" s="170"/>
      <c r="B15" s="170"/>
      <c r="C15" s="170"/>
      <c r="D15" s="170"/>
      <c r="E15" s="170"/>
      <c r="F15" s="171"/>
      <c r="G15" s="89" t="s">
        <v>127</v>
      </c>
      <c r="H15" s="90"/>
      <c r="I15" s="50">
        <v>4547.608695652174</v>
      </c>
      <c r="J15" s="50"/>
      <c r="K15" s="50"/>
      <c r="L15" s="50"/>
      <c r="M15" s="50">
        <f>I15*0.238</f>
        <v>1082.3308695652174</v>
      </c>
      <c r="N15" s="50"/>
      <c r="O15" s="50"/>
      <c r="P15" s="50"/>
      <c r="Q15" s="53">
        <f>SUM(I15:P15)</f>
        <v>5629.9395652173916</v>
      </c>
      <c r="R15" s="97"/>
      <c r="S15" s="1"/>
      <c r="U15" s="1"/>
    </row>
    <row r="16" spans="1:21" x14ac:dyDescent="0.25">
      <c r="A16" s="170"/>
      <c r="B16" s="170"/>
      <c r="C16" s="170"/>
      <c r="D16" s="170"/>
      <c r="E16" s="170"/>
      <c r="F16" s="171"/>
      <c r="G16" s="156" t="s">
        <v>133</v>
      </c>
      <c r="H16" s="157"/>
      <c r="I16" s="49">
        <v>15175</v>
      </c>
      <c r="J16" s="49"/>
      <c r="K16" s="49"/>
      <c r="L16" s="49"/>
      <c r="M16" s="50">
        <f>+I16*23.8%</f>
        <v>3611.65</v>
      </c>
      <c r="N16" s="50"/>
      <c r="O16" s="49"/>
      <c r="P16" s="49"/>
      <c r="Q16" s="54">
        <f>SUM(I16:P16)</f>
        <v>18786.650000000001</v>
      </c>
      <c r="R16" s="97"/>
      <c r="S16" s="1"/>
      <c r="U16" s="1"/>
    </row>
    <row r="17" spans="1:21" x14ac:dyDescent="0.25">
      <c r="A17" s="170"/>
      <c r="B17" s="170"/>
      <c r="C17" s="170"/>
      <c r="D17" s="170"/>
      <c r="E17" s="170"/>
      <c r="F17" s="171"/>
      <c r="G17" s="156" t="s">
        <v>154</v>
      </c>
      <c r="H17" s="157"/>
      <c r="I17" s="49">
        <v>602</v>
      </c>
      <c r="J17" s="49"/>
      <c r="K17" s="49"/>
      <c r="L17" s="49"/>
      <c r="M17" s="50">
        <f>+I17*23.8%</f>
        <v>143.27600000000001</v>
      </c>
      <c r="N17" s="50"/>
      <c r="O17" s="49"/>
      <c r="P17" s="49"/>
      <c r="Q17" s="54">
        <f>SUM(I17:P17)</f>
        <v>745.27600000000007</v>
      </c>
      <c r="R17" s="97"/>
      <c r="S17" s="1"/>
      <c r="U17" s="1"/>
    </row>
    <row r="18" spans="1:21" x14ac:dyDescent="0.25">
      <c r="A18" s="170"/>
      <c r="B18" s="170"/>
      <c r="C18" s="170"/>
      <c r="D18" s="170"/>
      <c r="E18" s="170"/>
      <c r="F18" s="171"/>
      <c r="G18" s="156" t="s">
        <v>106</v>
      </c>
      <c r="H18" s="157"/>
      <c r="I18" s="49"/>
      <c r="J18" s="49"/>
      <c r="K18" s="49"/>
      <c r="L18" s="49"/>
      <c r="M18" s="50"/>
      <c r="N18" s="50"/>
      <c r="O18" s="49"/>
      <c r="P18" s="49"/>
      <c r="Q18" s="54">
        <v>2650</v>
      </c>
      <c r="R18" s="97"/>
      <c r="S18" s="1"/>
      <c r="U18" s="1"/>
    </row>
    <row r="19" spans="1:21" x14ac:dyDescent="0.25">
      <c r="A19" s="170"/>
      <c r="B19" s="170"/>
      <c r="C19" s="170"/>
      <c r="D19" s="170"/>
      <c r="E19" s="170"/>
      <c r="F19" s="171"/>
      <c r="G19" s="156" t="s">
        <v>132</v>
      </c>
      <c r="H19" s="157"/>
      <c r="I19" s="49">
        <v>2526.0160260103912</v>
      </c>
      <c r="J19" s="49"/>
      <c r="K19" s="49"/>
      <c r="L19" s="49"/>
      <c r="M19" s="50">
        <f t="shared" ref="M19:M20" si="7">+I19*23.8%</f>
        <v>601.19181419047311</v>
      </c>
      <c r="N19" s="49"/>
      <c r="O19" s="49"/>
      <c r="P19" s="49"/>
      <c r="Q19" s="54">
        <f>SUM(I19:P19)</f>
        <v>3127.2078402008642</v>
      </c>
      <c r="R19" t="s">
        <v>157</v>
      </c>
      <c r="S19" s="1"/>
      <c r="U19" s="1"/>
    </row>
    <row r="20" spans="1:21" ht="14.45" customHeight="1" x14ac:dyDescent="0.25">
      <c r="A20" s="170"/>
      <c r="B20" s="170"/>
      <c r="C20" s="170"/>
      <c r="D20" s="170"/>
      <c r="E20" s="170"/>
      <c r="F20" s="171"/>
      <c r="G20" s="156" t="s">
        <v>136</v>
      </c>
      <c r="H20" s="157"/>
      <c r="I20" s="49">
        <v>13261.38</v>
      </c>
      <c r="J20" s="49"/>
      <c r="K20" s="49"/>
      <c r="L20" s="49"/>
      <c r="M20" s="50">
        <f t="shared" si="7"/>
        <v>3156.2084399999999</v>
      </c>
      <c r="N20" s="50"/>
      <c r="O20" s="49"/>
      <c r="P20" s="49"/>
      <c r="Q20" s="54">
        <f>SUM(I20:P20)</f>
        <v>16417.58844</v>
      </c>
      <c r="R20" s="97"/>
      <c r="S20" s="1"/>
      <c r="U20" s="1"/>
    </row>
    <row r="21" spans="1:21" ht="15" customHeight="1" x14ac:dyDescent="0.25">
      <c r="A21" s="170"/>
      <c r="B21" s="170"/>
      <c r="C21" s="170"/>
      <c r="D21" s="170"/>
      <c r="E21" s="170"/>
      <c r="F21" s="171"/>
      <c r="G21" s="156" t="s">
        <v>110</v>
      </c>
      <c r="H21" s="157"/>
      <c r="I21" s="54">
        <v>23326.42</v>
      </c>
      <c r="J21" s="49"/>
      <c r="K21" s="49"/>
      <c r="L21" s="49"/>
      <c r="M21" s="49"/>
      <c r="N21" s="50"/>
      <c r="O21" s="49"/>
      <c r="P21" s="49"/>
      <c r="Q21" s="54">
        <v>23326.42</v>
      </c>
      <c r="R21" t="s">
        <v>157</v>
      </c>
      <c r="S21" s="1"/>
      <c r="U21" s="1"/>
    </row>
    <row r="22" spans="1:21" x14ac:dyDescent="0.25">
      <c r="A22" s="104"/>
      <c r="B22" s="103"/>
      <c r="C22" s="103"/>
      <c r="D22" s="103"/>
      <c r="E22" s="103"/>
      <c r="F22" s="103"/>
      <c r="G22" s="172" t="s">
        <v>109</v>
      </c>
      <c r="H22" s="173"/>
      <c r="I22" s="173"/>
      <c r="J22" s="173"/>
      <c r="K22" s="173"/>
      <c r="L22" s="173"/>
      <c r="M22" s="173"/>
      <c r="N22" s="173"/>
      <c r="O22" s="173"/>
      <c r="P22" s="174"/>
      <c r="Q22" s="55">
        <f>SUM(Q4:Q21)</f>
        <v>281953.27198442467</v>
      </c>
      <c r="R22" s="98"/>
      <c r="S22" s="105"/>
      <c r="T22" s="106"/>
    </row>
    <row r="23" spans="1:21" ht="3.75" customHeight="1" thickBot="1" x14ac:dyDescent="0.3">
      <c r="Q23" s="1"/>
    </row>
    <row r="24" spans="1:21" x14ac:dyDescent="0.25">
      <c r="A24" s="163" t="s">
        <v>128</v>
      </c>
      <c r="B24" s="163"/>
      <c r="C24" s="163"/>
      <c r="D24" s="163"/>
      <c r="E24" s="163"/>
      <c r="F24" s="163"/>
      <c r="G24" s="163"/>
      <c r="H24" s="163"/>
      <c r="I24" s="163"/>
      <c r="J24" s="163"/>
      <c r="K24" s="163"/>
      <c r="L24" s="163"/>
      <c r="M24" s="163"/>
      <c r="N24" s="163"/>
      <c r="O24" s="163"/>
      <c r="P24" s="163"/>
      <c r="Q24" s="164"/>
    </row>
    <row r="25" spans="1:21" ht="4.5" customHeight="1" thickBot="1" x14ac:dyDescent="0.3">
      <c r="A25" s="165"/>
      <c r="B25" s="165"/>
      <c r="C25" s="165"/>
      <c r="D25" s="165"/>
      <c r="E25" s="165"/>
      <c r="F25" s="165"/>
      <c r="G25" s="165"/>
      <c r="H25" s="165"/>
      <c r="I25" s="165"/>
      <c r="J25" s="165"/>
      <c r="K25" s="165"/>
      <c r="L25" s="165"/>
      <c r="M25" s="165"/>
      <c r="N25" s="165"/>
      <c r="O25" s="165"/>
      <c r="P25" s="165"/>
      <c r="Q25" s="166"/>
    </row>
    <row r="26" spans="1:21" ht="49.5" customHeight="1" thickBot="1" x14ac:dyDescent="0.3">
      <c r="A26" s="46" t="s">
        <v>79</v>
      </c>
      <c r="B26" s="59" t="s">
        <v>84</v>
      </c>
      <c r="C26" s="46" t="s">
        <v>107</v>
      </c>
      <c r="D26" s="46" t="s">
        <v>113</v>
      </c>
      <c r="E26" s="46" t="s">
        <v>120</v>
      </c>
      <c r="F26" s="46" t="s">
        <v>44</v>
      </c>
      <c r="G26" s="46" t="s">
        <v>121</v>
      </c>
      <c r="H26" s="46" t="s">
        <v>83</v>
      </c>
      <c r="I26" s="60" t="s">
        <v>119</v>
      </c>
      <c r="J26" s="60" t="s">
        <v>123</v>
      </c>
      <c r="K26" s="60" t="s">
        <v>118</v>
      </c>
      <c r="L26" s="60" t="s">
        <v>117</v>
      </c>
      <c r="M26" s="91" t="s">
        <v>116</v>
      </c>
      <c r="N26" s="60" t="s">
        <v>124</v>
      </c>
      <c r="O26" s="60" t="s">
        <v>125</v>
      </c>
      <c r="P26" s="60" t="s">
        <v>115</v>
      </c>
      <c r="Q26" s="82" t="s">
        <v>104</v>
      </c>
      <c r="T26" s="92"/>
    </row>
    <row r="27" spans="1:21" ht="15" customHeight="1" x14ac:dyDescent="0.25">
      <c r="A27" s="62" t="s">
        <v>152</v>
      </c>
      <c r="B27" s="63" t="s">
        <v>111</v>
      </c>
      <c r="C27" s="63">
        <v>1</v>
      </c>
      <c r="D27" s="63" t="s">
        <v>89</v>
      </c>
      <c r="E27" s="64" t="s">
        <v>65</v>
      </c>
      <c r="F27" s="64">
        <v>36</v>
      </c>
      <c r="G27" s="63" t="s">
        <v>55</v>
      </c>
      <c r="H27" s="65">
        <v>1934.36</v>
      </c>
      <c r="I27" s="66">
        <f>H27*13</f>
        <v>25146.68</v>
      </c>
      <c r="J27" s="66">
        <f>(I27+L27)*0.8*0.025</f>
        <v>507.96199999999999</v>
      </c>
      <c r="K27" s="66">
        <f>51.9*12</f>
        <v>622.79999999999995</v>
      </c>
      <c r="L27" s="93">
        <f>19.34*13</f>
        <v>251.42</v>
      </c>
      <c r="M27" s="66">
        <f>(I27+K27+L27)*0.238</f>
        <v>6192.9741999999997</v>
      </c>
      <c r="N27" s="50">
        <f>(SUM(I27,L27)*0.8*0.061)</f>
        <v>1239.4272799999999</v>
      </c>
      <c r="O27" s="66"/>
      <c r="P27" s="67">
        <v>1</v>
      </c>
      <c r="Q27" s="68">
        <f>P27*(I27-J27+K27+L27+M27+N27)</f>
        <v>32945.339479999995</v>
      </c>
    </row>
    <row r="28" spans="1:21" x14ac:dyDescent="0.25">
      <c r="A28" s="77" t="s">
        <v>134</v>
      </c>
      <c r="B28" s="70" t="s">
        <v>111</v>
      </c>
      <c r="C28" s="51">
        <v>1</v>
      </c>
      <c r="D28" s="78" t="s">
        <v>89</v>
      </c>
      <c r="E28" s="70" t="s">
        <v>65</v>
      </c>
      <c r="F28" s="70">
        <v>36</v>
      </c>
      <c r="G28" s="51" t="s">
        <v>108</v>
      </c>
      <c r="H28" s="61">
        <f>2025.66</f>
        <v>2025.66</v>
      </c>
      <c r="I28" s="49">
        <f t="shared" ref="I28:I30" si="8">H28*13</f>
        <v>26333.58</v>
      </c>
      <c r="J28" s="49">
        <f>(I28+L28)*0.8*0.025</f>
        <v>531.93920000000014</v>
      </c>
      <c r="K28" s="49">
        <f>51.9*12</f>
        <v>622.79999999999995</v>
      </c>
      <c r="L28" s="94">
        <f>20.26*13</f>
        <v>263.38</v>
      </c>
      <c r="M28" s="49">
        <f t="shared" ref="M28:M30" si="9">(I28+K28+L28)*0.238</f>
        <v>6478.3028800000002</v>
      </c>
      <c r="N28" s="49">
        <f>(SUM(I28,L28)*0.8*0.061)</f>
        <v>1297.9316480000002</v>
      </c>
      <c r="O28" s="49"/>
      <c r="P28" s="49">
        <f>+F28/36</f>
        <v>1</v>
      </c>
      <c r="Q28" s="76">
        <f t="shared" ref="Q28:Q30" si="10">P28*(I28-J28+K28+L28+M28+N28)</f>
        <v>34464.055328000002</v>
      </c>
      <c r="S28" s="1"/>
    </row>
    <row r="29" spans="1:21" x14ac:dyDescent="0.25">
      <c r="A29" s="79" t="s">
        <v>135</v>
      </c>
      <c r="B29" s="80" t="s">
        <v>111</v>
      </c>
      <c r="C29" s="71">
        <v>1</v>
      </c>
      <c r="D29" s="71" t="s">
        <v>89</v>
      </c>
      <c r="E29" s="80" t="s">
        <v>65</v>
      </c>
      <c r="F29" s="80">
        <v>36</v>
      </c>
      <c r="G29" s="71" t="s">
        <v>55</v>
      </c>
      <c r="H29" s="81">
        <v>1934.36</v>
      </c>
      <c r="I29" s="50">
        <f t="shared" si="8"/>
        <v>25146.68</v>
      </c>
      <c r="J29" s="50">
        <f t="shared" ref="J29:J30" si="11">(I29+L29)*0.8*0.025</f>
        <v>507.96199999999999</v>
      </c>
      <c r="K29" s="50">
        <f>51.9*12</f>
        <v>622.79999999999995</v>
      </c>
      <c r="L29" s="95">
        <f>19.34*13</f>
        <v>251.42</v>
      </c>
      <c r="M29" s="49">
        <f t="shared" si="9"/>
        <v>6192.9741999999997</v>
      </c>
      <c r="N29" s="49">
        <f t="shared" ref="N29" si="12">(SUM(I29,L29)*0.8*0.061)</f>
        <v>1239.4272799999999</v>
      </c>
      <c r="O29" s="50"/>
      <c r="P29" s="50">
        <v>1</v>
      </c>
      <c r="Q29" s="76">
        <f t="shared" si="10"/>
        <v>32945.339479999995</v>
      </c>
      <c r="S29" s="1"/>
    </row>
    <row r="30" spans="1:21" x14ac:dyDescent="0.25">
      <c r="A30" s="69" t="s">
        <v>112</v>
      </c>
      <c r="B30" s="70" t="s">
        <v>111</v>
      </c>
      <c r="C30" s="71">
        <v>1</v>
      </c>
      <c r="D30" s="72" t="s">
        <v>89</v>
      </c>
      <c r="E30" s="73" t="s">
        <v>76</v>
      </c>
      <c r="F30" s="73">
        <v>36</v>
      </c>
      <c r="G30" s="72" t="s">
        <v>52</v>
      </c>
      <c r="H30" s="74">
        <v>1782.74</v>
      </c>
      <c r="I30" s="75">
        <f t="shared" si="8"/>
        <v>23175.62</v>
      </c>
      <c r="J30" s="50">
        <f t="shared" si="11"/>
        <v>468.14820000000003</v>
      </c>
      <c r="K30" s="75">
        <f>45.8*12</f>
        <v>549.59999999999991</v>
      </c>
      <c r="L30" s="96">
        <f>17.83*13</f>
        <v>231.78999999999996</v>
      </c>
      <c r="M30" s="49">
        <f t="shared" si="9"/>
        <v>5701.7683799999995</v>
      </c>
      <c r="N30" s="49">
        <f>(SUM(I30,L30)*0.8*0.061)</f>
        <v>1142.281608</v>
      </c>
      <c r="O30" s="75"/>
      <c r="P30" s="75">
        <v>1</v>
      </c>
      <c r="Q30" s="76">
        <f t="shared" si="10"/>
        <v>30332.911788000001</v>
      </c>
      <c r="S30" s="1"/>
    </row>
    <row r="31" spans="1:21" x14ac:dyDescent="0.25">
      <c r="A31" s="120" t="s">
        <v>99</v>
      </c>
      <c r="B31" s="70" t="s">
        <v>111</v>
      </c>
      <c r="C31" s="51">
        <v>1</v>
      </c>
      <c r="D31" s="114" t="s">
        <v>89</v>
      </c>
      <c r="E31" s="70" t="s">
        <v>76</v>
      </c>
      <c r="F31" s="70">
        <v>18</v>
      </c>
      <c r="G31" s="51" t="s">
        <v>52</v>
      </c>
      <c r="H31" s="61">
        <f>1782.74*0.5</f>
        <v>891.37</v>
      </c>
      <c r="I31" s="49">
        <f>(H31*13)</f>
        <v>11587.81</v>
      </c>
      <c r="J31" s="49">
        <f>(I31+L31)*0.8*0.025</f>
        <v>234.07410000000002</v>
      </c>
      <c r="K31" s="49">
        <f>(45.8*12)*0.5</f>
        <v>274.79999999999995</v>
      </c>
      <c r="L31" s="49">
        <f>17.83*13*0.5</f>
        <v>115.89499999999998</v>
      </c>
      <c r="M31" s="49">
        <f>(I31+K31+L31)*0.238</f>
        <v>2850.8841899999998</v>
      </c>
      <c r="N31" s="49">
        <f>(SUM(I31,L31)*0.8*0.061)</f>
        <v>571.140804</v>
      </c>
      <c r="O31" s="49"/>
      <c r="P31" s="49">
        <v>0.5</v>
      </c>
      <c r="Q31" s="76">
        <f>(I31-J31+K31+L31+M31+N31)</f>
        <v>15166.455894000001</v>
      </c>
    </row>
    <row r="32" spans="1:21" x14ac:dyDescent="0.25">
      <c r="A32" s="120" t="s">
        <v>159</v>
      </c>
      <c r="B32" s="70" t="s">
        <v>111</v>
      </c>
      <c r="C32" s="51">
        <v>1</v>
      </c>
      <c r="D32" s="114" t="s">
        <v>89</v>
      </c>
      <c r="E32" s="70" t="s">
        <v>155</v>
      </c>
      <c r="F32" s="70">
        <v>30</v>
      </c>
      <c r="G32" s="51" t="s">
        <v>64</v>
      </c>
      <c r="H32" s="61">
        <f>1672.74*0.8333</f>
        <v>1393.8942420000001</v>
      </c>
      <c r="I32" s="49">
        <f>(H32*13)</f>
        <v>18120.625146000002</v>
      </c>
      <c r="J32" s="49">
        <f>(I32+L32)*0.8*0.025</f>
        <v>378.68501866000008</v>
      </c>
      <c r="K32" s="49">
        <f>(39.31*12)*0.8333</f>
        <v>393.08427600000005</v>
      </c>
      <c r="L32" s="49">
        <v>813.62578700000017</v>
      </c>
      <c r="M32" s="49">
        <f>(I32+K32+L32)*0.238</f>
        <v>4599.905779742001</v>
      </c>
      <c r="N32" s="49">
        <f t="shared" ref="N32" si="13">(SUM(I32,L32)*0.8*0.061)</f>
        <v>923.99144553040014</v>
      </c>
      <c r="O32" s="49"/>
      <c r="P32" s="49">
        <v>0.83330000000000004</v>
      </c>
      <c r="Q32" s="76">
        <f>(I32-J32+K32+L32+M32+N32)</f>
        <v>24472.547415612407</v>
      </c>
    </row>
    <row r="33" spans="1:21" ht="15.75" thickBot="1" x14ac:dyDescent="0.3">
      <c r="A33" s="138"/>
      <c r="B33" s="108"/>
      <c r="C33" s="109"/>
      <c r="D33" s="110"/>
      <c r="E33" s="108"/>
      <c r="F33" s="108"/>
      <c r="G33" s="109"/>
      <c r="H33" s="111"/>
      <c r="I33" s="112"/>
      <c r="J33" s="112"/>
      <c r="K33" s="112"/>
      <c r="L33" s="112"/>
      <c r="M33" s="112"/>
      <c r="N33" s="112"/>
      <c r="O33" s="112"/>
      <c r="P33" s="121"/>
      <c r="Q33" s="113"/>
    </row>
    <row r="34" spans="1:21" x14ac:dyDescent="0.25">
      <c r="A34" s="56"/>
      <c r="B34" s="56"/>
      <c r="C34" s="57"/>
      <c r="D34" s="57"/>
      <c r="E34" s="58"/>
      <c r="F34" s="58"/>
      <c r="G34" s="156" t="s">
        <v>114</v>
      </c>
      <c r="H34" s="157"/>
      <c r="I34" s="49"/>
      <c r="J34" s="50"/>
      <c r="K34" s="49"/>
      <c r="L34" s="49"/>
      <c r="M34" s="50"/>
      <c r="N34" s="50"/>
      <c r="O34" s="49"/>
      <c r="P34" s="52"/>
      <c r="Q34" s="53">
        <v>899.46</v>
      </c>
    </row>
    <row r="35" spans="1:21" ht="18" customHeight="1" x14ac:dyDescent="0.25">
      <c r="A35" s="154"/>
      <c r="B35" s="154"/>
      <c r="C35" s="154"/>
      <c r="D35" s="154"/>
      <c r="E35" s="154"/>
      <c r="F35" s="155"/>
      <c r="G35" s="156" t="s">
        <v>131</v>
      </c>
      <c r="H35" s="157"/>
      <c r="I35" s="50">
        <v>30317.391304347828</v>
      </c>
      <c r="J35" s="50"/>
      <c r="K35" s="50"/>
      <c r="L35" s="50"/>
      <c r="M35" s="50">
        <f>+I35*23.8%</f>
        <v>7215.5391304347831</v>
      </c>
      <c r="N35" s="50"/>
      <c r="O35" s="50">
        <f>I35*0.0691</f>
        <v>2094.9317391304348</v>
      </c>
      <c r="P35" s="50"/>
      <c r="Q35" s="53">
        <f>SUM(O35,M35,N35,K35,I35)</f>
        <v>39627.862173913047</v>
      </c>
    </row>
    <row r="36" spans="1:21" ht="18" customHeight="1" x14ac:dyDescent="0.25">
      <c r="A36" s="154"/>
      <c r="B36" s="154"/>
      <c r="C36" s="154"/>
      <c r="D36" s="154"/>
      <c r="E36" s="154"/>
      <c r="F36" s="155"/>
      <c r="G36" s="89" t="s">
        <v>127</v>
      </c>
      <c r="H36" s="90"/>
      <c r="I36" s="50">
        <v>4547.608695652174</v>
      </c>
      <c r="J36" s="50"/>
      <c r="K36" s="50"/>
      <c r="L36" s="50"/>
      <c r="M36" s="50">
        <f>I36*0.238</f>
        <v>1082.3308695652174</v>
      </c>
      <c r="N36" s="50"/>
      <c r="O36" s="50"/>
      <c r="P36" s="50"/>
      <c r="Q36" s="53">
        <f>SUM(I36:P36)</f>
        <v>5629.9395652173916</v>
      </c>
    </row>
    <row r="37" spans="1:21" x14ac:dyDescent="0.25">
      <c r="A37" s="154"/>
      <c r="B37" s="154"/>
      <c r="C37" s="154"/>
      <c r="D37" s="154"/>
      <c r="E37" s="154"/>
      <c r="F37" s="155"/>
      <c r="G37" s="156" t="s">
        <v>133</v>
      </c>
      <c r="H37" s="157"/>
      <c r="I37" s="49">
        <v>15175</v>
      </c>
      <c r="J37" s="49"/>
      <c r="K37" s="49"/>
      <c r="L37" s="49"/>
      <c r="M37" s="50">
        <f>+I37*23.8%</f>
        <v>3611.65</v>
      </c>
      <c r="N37" s="50"/>
      <c r="O37" s="49"/>
      <c r="P37" s="49"/>
      <c r="Q37" s="54">
        <f>SUM(I37:P37)</f>
        <v>18786.650000000001</v>
      </c>
    </row>
    <row r="38" spans="1:21" x14ac:dyDescent="0.25">
      <c r="A38" s="154"/>
      <c r="B38" s="154"/>
      <c r="C38" s="154"/>
      <c r="D38" s="154"/>
      <c r="E38" s="154"/>
      <c r="F38" s="155"/>
      <c r="G38" s="156" t="s">
        <v>106</v>
      </c>
      <c r="H38" s="157"/>
      <c r="I38" s="49"/>
      <c r="J38" s="49"/>
      <c r="K38" s="49"/>
      <c r="L38" s="49"/>
      <c r="M38" s="49"/>
      <c r="N38" s="49"/>
      <c r="O38" s="49"/>
      <c r="P38" s="49"/>
      <c r="Q38" s="54">
        <v>2650</v>
      </c>
    </row>
    <row r="39" spans="1:21" x14ac:dyDescent="0.25">
      <c r="A39" s="154"/>
      <c r="B39" s="154"/>
      <c r="C39" s="154"/>
      <c r="D39" s="154"/>
      <c r="E39" s="154"/>
      <c r="F39" s="155"/>
      <c r="G39" s="156" t="s">
        <v>132</v>
      </c>
      <c r="H39" s="157"/>
      <c r="I39" s="49">
        <v>2526.0160260103912</v>
      </c>
      <c r="J39" s="49"/>
      <c r="K39" s="49"/>
      <c r="L39" s="49"/>
      <c r="M39" s="50">
        <f t="shared" ref="M39:M40" si="14">+I39*23.8%</f>
        <v>601.19181419047311</v>
      </c>
      <c r="N39" s="49"/>
      <c r="O39" s="49"/>
      <c r="P39" s="49"/>
      <c r="Q39" s="54">
        <f>SUM(I39:P39)</f>
        <v>3127.2078402008642</v>
      </c>
      <c r="R39" s="97"/>
      <c r="S39" s="1"/>
      <c r="U39" s="1"/>
    </row>
    <row r="40" spans="1:21" ht="14.45" customHeight="1" x14ac:dyDescent="0.25">
      <c r="A40" s="154"/>
      <c r="B40" s="154"/>
      <c r="C40" s="154"/>
      <c r="D40" s="154"/>
      <c r="E40" s="154"/>
      <c r="F40" s="155"/>
      <c r="G40" s="156" t="s">
        <v>136</v>
      </c>
      <c r="H40" s="157"/>
      <c r="I40" s="49">
        <v>13261.38</v>
      </c>
      <c r="J40" s="49"/>
      <c r="K40" s="49"/>
      <c r="L40" s="49"/>
      <c r="M40" s="50">
        <f t="shared" si="14"/>
        <v>3156.2084399999999</v>
      </c>
      <c r="N40" s="50"/>
      <c r="O40" s="49"/>
      <c r="P40" s="49"/>
      <c r="Q40" s="54">
        <f>SUM(I40:P40)</f>
        <v>16417.58844</v>
      </c>
      <c r="R40" s="97"/>
      <c r="S40" s="1"/>
      <c r="U40" s="1"/>
    </row>
    <row r="41" spans="1:21" ht="15.75" customHeight="1" x14ac:dyDescent="0.25">
      <c r="A41" s="154"/>
      <c r="B41" s="154"/>
      <c r="C41" s="154"/>
      <c r="D41" s="154"/>
      <c r="E41" s="154"/>
      <c r="F41" s="155"/>
      <c r="G41" s="158" t="s">
        <v>110</v>
      </c>
      <c r="H41" s="159"/>
      <c r="I41" s="49"/>
      <c r="J41" s="49"/>
      <c r="K41" s="49"/>
      <c r="L41" s="49"/>
      <c r="M41" s="49"/>
      <c r="N41" s="50"/>
      <c r="O41" s="49"/>
      <c r="P41" s="49"/>
      <c r="Q41" s="54">
        <v>23326.42</v>
      </c>
    </row>
    <row r="42" spans="1:21" x14ac:dyDescent="0.25">
      <c r="A42" s="48"/>
      <c r="B42" s="47"/>
      <c r="C42" s="47"/>
      <c r="D42" s="47"/>
      <c r="E42" s="47"/>
      <c r="F42" s="47"/>
      <c r="G42" s="160" t="s">
        <v>109</v>
      </c>
      <c r="H42" s="161"/>
      <c r="I42" s="161"/>
      <c r="J42" s="161"/>
      <c r="K42" s="161"/>
      <c r="L42" s="161"/>
      <c r="M42" s="161"/>
      <c r="N42" s="161"/>
      <c r="O42" s="161"/>
      <c r="P42" s="162"/>
      <c r="Q42" s="55">
        <f>SUM(Q27:Q41)</f>
        <v>280791.77740494366</v>
      </c>
    </row>
    <row r="43" spans="1:21" ht="4.5" customHeight="1" thickBot="1" x14ac:dyDescent="0.3"/>
    <row r="44" spans="1:21" x14ac:dyDescent="0.25">
      <c r="A44" s="163" t="s">
        <v>153</v>
      </c>
      <c r="B44" s="163"/>
      <c r="C44" s="163"/>
      <c r="D44" s="163"/>
      <c r="E44" s="163"/>
      <c r="F44" s="163"/>
      <c r="G44" s="163"/>
      <c r="H44" s="163"/>
      <c r="I44" s="163"/>
      <c r="J44" s="163"/>
      <c r="K44" s="163"/>
      <c r="L44" s="163"/>
      <c r="M44" s="163"/>
      <c r="N44" s="163"/>
      <c r="O44" s="163"/>
      <c r="P44" s="163"/>
      <c r="Q44" s="164"/>
    </row>
    <row r="45" spans="1:21" ht="2.25" customHeight="1" thickBot="1" x14ac:dyDescent="0.3">
      <c r="A45" s="165"/>
      <c r="B45" s="165"/>
      <c r="C45" s="165"/>
      <c r="D45" s="165"/>
      <c r="E45" s="165"/>
      <c r="F45" s="165"/>
      <c r="G45" s="165"/>
      <c r="H45" s="165"/>
      <c r="I45" s="165"/>
      <c r="J45" s="165"/>
      <c r="K45" s="165"/>
      <c r="L45" s="165"/>
      <c r="M45" s="165"/>
      <c r="N45" s="165"/>
      <c r="O45" s="165"/>
      <c r="P45" s="165"/>
      <c r="Q45" s="166"/>
    </row>
    <row r="46" spans="1:21" ht="49.5" customHeight="1" thickBot="1" x14ac:dyDescent="0.3">
      <c r="A46" s="46" t="s">
        <v>79</v>
      </c>
      <c r="B46" s="59" t="s">
        <v>84</v>
      </c>
      <c r="C46" s="46" t="s">
        <v>107</v>
      </c>
      <c r="D46" s="46" t="s">
        <v>113</v>
      </c>
      <c r="E46" s="46" t="s">
        <v>120</v>
      </c>
      <c r="F46" s="46" t="s">
        <v>44</v>
      </c>
      <c r="G46" s="46" t="s">
        <v>121</v>
      </c>
      <c r="H46" s="46" t="s">
        <v>83</v>
      </c>
      <c r="I46" s="60" t="s">
        <v>119</v>
      </c>
      <c r="J46" s="60" t="s">
        <v>123</v>
      </c>
      <c r="K46" s="60" t="s">
        <v>118</v>
      </c>
      <c r="L46" s="60" t="s">
        <v>117</v>
      </c>
      <c r="M46" s="91" t="s">
        <v>116</v>
      </c>
      <c r="N46" s="91" t="s">
        <v>124</v>
      </c>
      <c r="O46" s="60" t="s">
        <v>125</v>
      </c>
      <c r="P46" s="60" t="s">
        <v>115</v>
      </c>
      <c r="Q46" s="82" t="s">
        <v>104</v>
      </c>
    </row>
    <row r="47" spans="1:21" x14ac:dyDescent="0.25">
      <c r="A47" s="62" t="s">
        <v>152</v>
      </c>
      <c r="B47" s="63" t="s">
        <v>111</v>
      </c>
      <c r="C47" s="63">
        <v>1</v>
      </c>
      <c r="D47" s="63" t="s">
        <v>89</v>
      </c>
      <c r="E47" s="64" t="s">
        <v>65</v>
      </c>
      <c r="F47" s="64">
        <v>36</v>
      </c>
      <c r="G47" s="63" t="s">
        <v>55</v>
      </c>
      <c r="H47" s="65">
        <v>1934.36</v>
      </c>
      <c r="I47" s="66">
        <f>H47*13</f>
        <v>25146.68</v>
      </c>
      <c r="J47" s="66">
        <f>(I47+L47)*0.8*0.025</f>
        <v>507.96199999999999</v>
      </c>
      <c r="K47" s="66">
        <f>51.9*12</f>
        <v>622.79999999999995</v>
      </c>
      <c r="L47" s="93">
        <f>19.34*13</f>
        <v>251.42</v>
      </c>
      <c r="M47" s="66">
        <f>(I47+K47+L47)*0.238</f>
        <v>6192.9741999999997</v>
      </c>
      <c r="N47" s="49">
        <f>(SUM(I47,L47)*0.8*0.061)</f>
        <v>1239.4272799999999</v>
      </c>
      <c r="O47" s="66"/>
      <c r="P47" s="67">
        <v>1</v>
      </c>
      <c r="Q47" s="68">
        <f>P47*(I47-J47+K47+L47+M47+N47)</f>
        <v>32945.339479999995</v>
      </c>
    </row>
    <row r="48" spans="1:21" x14ac:dyDescent="0.25">
      <c r="A48" s="77" t="s">
        <v>134</v>
      </c>
      <c r="B48" s="70" t="s">
        <v>111</v>
      </c>
      <c r="C48" s="51">
        <v>1</v>
      </c>
      <c r="D48" s="78" t="s">
        <v>89</v>
      </c>
      <c r="E48" s="70" t="s">
        <v>65</v>
      </c>
      <c r="F48" s="70">
        <v>36</v>
      </c>
      <c r="G48" s="51" t="s">
        <v>108</v>
      </c>
      <c r="H48" s="61">
        <f>2025.66</f>
        <v>2025.66</v>
      </c>
      <c r="I48" s="49">
        <f t="shared" ref="I48:I50" si="15">H48*13</f>
        <v>26333.58</v>
      </c>
      <c r="J48" s="49">
        <f>(I48+L48)*0.8*0.025</f>
        <v>531.93920000000014</v>
      </c>
      <c r="K48" s="49">
        <f>51.9*12</f>
        <v>622.79999999999995</v>
      </c>
      <c r="L48" s="94">
        <f>20.26*13</f>
        <v>263.38</v>
      </c>
      <c r="M48" s="49">
        <f t="shared" ref="M48:M50" si="16">(I48+K48+L48)*0.238</f>
        <v>6478.3028800000002</v>
      </c>
      <c r="N48" s="49">
        <f>(SUM(I48,L48)*0.8*0.061)</f>
        <v>1297.9316480000002</v>
      </c>
      <c r="O48" s="49"/>
      <c r="P48" s="49">
        <f>+F48/36</f>
        <v>1</v>
      </c>
      <c r="Q48" s="76">
        <f t="shared" ref="Q48:Q50" si="17">P48*(I48-J48+K48+L48+M48+N48)</f>
        <v>34464.055328000002</v>
      </c>
    </row>
    <row r="49" spans="1:21" x14ac:dyDescent="0.25">
      <c r="A49" s="79" t="s">
        <v>135</v>
      </c>
      <c r="B49" s="80" t="s">
        <v>111</v>
      </c>
      <c r="C49" s="71">
        <v>1</v>
      </c>
      <c r="D49" s="71" t="s">
        <v>89</v>
      </c>
      <c r="E49" s="80" t="s">
        <v>65</v>
      </c>
      <c r="F49" s="80">
        <v>36</v>
      </c>
      <c r="G49" s="71" t="s">
        <v>55</v>
      </c>
      <c r="H49" s="81">
        <v>1934.36</v>
      </c>
      <c r="I49" s="50">
        <f t="shared" si="15"/>
        <v>25146.68</v>
      </c>
      <c r="J49" s="50">
        <f t="shared" ref="J49:J50" si="18">(I49+L49)*0.8*0.025</f>
        <v>507.96199999999999</v>
      </c>
      <c r="K49" s="50">
        <f>51.9*12</f>
        <v>622.79999999999995</v>
      </c>
      <c r="L49" s="95">
        <f>19.34*13</f>
        <v>251.42</v>
      </c>
      <c r="M49" s="49">
        <f t="shared" si="16"/>
        <v>6192.9741999999997</v>
      </c>
      <c r="N49" s="49">
        <f t="shared" ref="N49" si="19">(SUM(I49,L49)*0.8*0.061)</f>
        <v>1239.4272799999999</v>
      </c>
      <c r="O49" s="50"/>
      <c r="P49" s="50">
        <v>1</v>
      </c>
      <c r="Q49" s="76">
        <f t="shared" si="17"/>
        <v>32945.339479999995</v>
      </c>
    </row>
    <row r="50" spans="1:21" x14ac:dyDescent="0.25">
      <c r="A50" s="69" t="s">
        <v>112</v>
      </c>
      <c r="B50" s="70" t="s">
        <v>111</v>
      </c>
      <c r="C50" s="71">
        <v>1</v>
      </c>
      <c r="D50" s="72" t="s">
        <v>89</v>
      </c>
      <c r="E50" s="73" t="s">
        <v>76</v>
      </c>
      <c r="F50" s="73">
        <v>36</v>
      </c>
      <c r="G50" s="72" t="s">
        <v>52</v>
      </c>
      <c r="H50" s="74">
        <v>1782.74</v>
      </c>
      <c r="I50" s="75">
        <f t="shared" si="15"/>
        <v>23175.62</v>
      </c>
      <c r="J50" s="50">
        <f t="shared" si="18"/>
        <v>468.14820000000003</v>
      </c>
      <c r="K50" s="75">
        <f>45.8*12</f>
        <v>549.59999999999991</v>
      </c>
      <c r="L50" s="96">
        <f>17.83*13</f>
        <v>231.78999999999996</v>
      </c>
      <c r="M50" s="49">
        <f t="shared" si="16"/>
        <v>5701.7683799999995</v>
      </c>
      <c r="N50" s="49">
        <f>(SUM(I50,L50)*0.8*0.061)</f>
        <v>1142.281608</v>
      </c>
      <c r="O50" s="75"/>
      <c r="P50" s="75">
        <v>1</v>
      </c>
      <c r="Q50" s="76">
        <f t="shared" si="17"/>
        <v>30332.911788000001</v>
      </c>
    </row>
    <row r="51" spans="1:21" x14ac:dyDescent="0.25">
      <c r="A51" s="120" t="s">
        <v>159</v>
      </c>
      <c r="B51" s="70" t="s">
        <v>111</v>
      </c>
      <c r="C51" s="51">
        <v>1</v>
      </c>
      <c r="D51" s="114" t="s">
        <v>89</v>
      </c>
      <c r="E51" s="70" t="s">
        <v>155</v>
      </c>
      <c r="F51" s="70">
        <v>30</v>
      </c>
      <c r="G51" s="51" t="s">
        <v>64</v>
      </c>
      <c r="H51" s="61">
        <f>1672.74*0.8333</f>
        <v>1393.8942420000001</v>
      </c>
      <c r="I51" s="49">
        <f>(H51*13)</f>
        <v>18120.625146000002</v>
      </c>
      <c r="J51" s="49">
        <f>(I51+L51)*0.8*0.025</f>
        <v>378.68501866000008</v>
      </c>
      <c r="K51" s="49">
        <f>(39.31*12)*0.8333</f>
        <v>393.08427600000005</v>
      </c>
      <c r="L51" s="49">
        <v>813.62578700000017</v>
      </c>
      <c r="M51" s="49">
        <f>(I51+K51+L51)*0.238</f>
        <v>4599.905779742001</v>
      </c>
      <c r="N51" s="49">
        <f t="shared" ref="N51" si="20">(SUM(I51,L51)*0.8*0.061)</f>
        <v>923.99144553040014</v>
      </c>
      <c r="O51" s="49"/>
      <c r="P51" s="49">
        <v>0.83330000000000004</v>
      </c>
      <c r="Q51" s="76">
        <f>(I51-J51+K51+L51+M51+N51)</f>
        <v>24472.547415612407</v>
      </c>
    </row>
    <row r="52" spans="1:21" ht="15.75" thickBot="1" x14ac:dyDescent="0.3">
      <c r="A52" s="120" t="s">
        <v>99</v>
      </c>
      <c r="B52" s="83" t="s">
        <v>111</v>
      </c>
      <c r="C52" s="84">
        <v>1</v>
      </c>
      <c r="D52" s="88" t="s">
        <v>89</v>
      </c>
      <c r="E52" s="83" t="s">
        <v>76</v>
      </c>
      <c r="F52" s="83">
        <v>18</v>
      </c>
      <c r="G52" s="84" t="s">
        <v>52</v>
      </c>
      <c r="H52" s="85">
        <f>1782.74*0.5</f>
        <v>891.37</v>
      </c>
      <c r="I52" s="86">
        <f>(H52*13)</f>
        <v>11587.81</v>
      </c>
      <c r="J52" s="86">
        <f>(I52+L52)*0.8*0.025</f>
        <v>234.07410000000002</v>
      </c>
      <c r="K52" s="86">
        <f>(45.8*12)*0.5</f>
        <v>274.79999999999995</v>
      </c>
      <c r="L52" s="86">
        <f>17.83*13*0.5</f>
        <v>115.89499999999998</v>
      </c>
      <c r="M52" s="86">
        <f>(I52+K52+L52)*0.238</f>
        <v>2850.8841899999998</v>
      </c>
      <c r="N52" s="86">
        <f>(SUM(I52,L52)*0.8*0.061)</f>
        <v>571.140804</v>
      </c>
      <c r="O52" s="86"/>
      <c r="P52" s="86">
        <v>0.5</v>
      </c>
      <c r="Q52" s="87">
        <f>(I52-J52+K52+L52+M52+N52)</f>
        <v>15166.455894000001</v>
      </c>
    </row>
    <row r="53" spans="1:21" x14ac:dyDescent="0.25">
      <c r="A53" s="56"/>
      <c r="B53" s="56"/>
      <c r="C53" s="57"/>
      <c r="D53" s="57"/>
      <c r="E53" s="58"/>
      <c r="F53" s="58"/>
      <c r="G53" s="156" t="s">
        <v>114</v>
      </c>
      <c r="H53" s="157"/>
      <c r="I53" s="49"/>
      <c r="J53" s="50"/>
      <c r="K53" s="49"/>
      <c r="L53" s="49"/>
      <c r="M53" s="50"/>
      <c r="N53" s="50"/>
      <c r="O53" s="49"/>
      <c r="P53" s="52"/>
      <c r="Q53" s="53">
        <v>899.46</v>
      </c>
    </row>
    <row r="54" spans="1:21" ht="17.25" customHeight="1" x14ac:dyDescent="0.25">
      <c r="A54" s="154"/>
      <c r="B54" s="154"/>
      <c r="C54" s="154"/>
      <c r="D54" s="154"/>
      <c r="E54" s="154"/>
      <c r="F54" s="155"/>
      <c r="G54" s="156" t="s">
        <v>126</v>
      </c>
      <c r="H54" s="157"/>
      <c r="I54" s="50">
        <v>30317.391304347828</v>
      </c>
      <c r="J54" s="50"/>
      <c r="K54" s="50"/>
      <c r="L54" s="50"/>
      <c r="M54" s="50">
        <f>+I54*23.8%</f>
        <v>7215.5391304347831</v>
      </c>
      <c r="N54" s="50"/>
      <c r="O54" s="50">
        <f>I54*0.0691</f>
        <v>2094.9317391304348</v>
      </c>
      <c r="P54" s="50"/>
      <c r="Q54" s="53">
        <f>SUM(O54,M54,N54,K54,I54)</f>
        <v>39627.862173913047</v>
      </c>
    </row>
    <row r="55" spans="1:21" ht="17.25" customHeight="1" x14ac:dyDescent="0.25">
      <c r="A55" s="154"/>
      <c r="B55" s="154"/>
      <c r="C55" s="154"/>
      <c r="D55" s="154"/>
      <c r="E55" s="154"/>
      <c r="F55" s="155"/>
      <c r="G55" s="89" t="s">
        <v>127</v>
      </c>
      <c r="H55" s="90"/>
      <c r="I55" s="50">
        <v>4547.608695652174</v>
      </c>
      <c r="J55" s="50"/>
      <c r="K55" s="50"/>
      <c r="L55" s="50"/>
      <c r="M55" s="50">
        <f>I55*0.238</f>
        <v>1082.3308695652174</v>
      </c>
      <c r="N55" s="50"/>
      <c r="O55" s="50"/>
      <c r="P55" s="50"/>
      <c r="Q55" s="53">
        <f>SUM(I55:P55)</f>
        <v>5629.9395652173916</v>
      </c>
    </row>
    <row r="56" spans="1:21" x14ac:dyDescent="0.25">
      <c r="A56" s="154"/>
      <c r="B56" s="154"/>
      <c r="C56" s="154"/>
      <c r="D56" s="154"/>
      <c r="E56" s="154"/>
      <c r="F56" s="155"/>
      <c r="G56" s="156" t="s">
        <v>105</v>
      </c>
      <c r="H56" s="157"/>
      <c r="I56" s="49">
        <v>15175</v>
      </c>
      <c r="J56" s="49"/>
      <c r="K56" s="49"/>
      <c r="L56" s="49"/>
      <c r="M56" s="50">
        <f>+I56*23.8%</f>
        <v>3611.65</v>
      </c>
      <c r="N56" s="50"/>
      <c r="O56" s="49"/>
      <c r="P56" s="49"/>
      <c r="Q56" s="54">
        <f>SUM(I56:P56)</f>
        <v>18786.650000000001</v>
      </c>
    </row>
    <row r="57" spans="1:21" x14ac:dyDescent="0.25">
      <c r="A57" s="154"/>
      <c r="B57" s="154"/>
      <c r="C57" s="154"/>
      <c r="D57" s="154"/>
      <c r="E57" s="154"/>
      <c r="F57" s="155"/>
      <c r="G57" s="156" t="s">
        <v>106</v>
      </c>
      <c r="H57" s="157"/>
      <c r="I57" s="49"/>
      <c r="J57" s="49"/>
      <c r="K57" s="49"/>
      <c r="L57" s="49"/>
      <c r="M57" s="49"/>
      <c r="N57" s="49"/>
      <c r="O57" s="49"/>
      <c r="P57" s="49"/>
      <c r="Q57" s="54">
        <v>2650</v>
      </c>
    </row>
    <row r="58" spans="1:21" x14ac:dyDescent="0.25">
      <c r="A58" s="154"/>
      <c r="B58" s="154"/>
      <c r="C58" s="154"/>
      <c r="D58" s="154"/>
      <c r="E58" s="154"/>
      <c r="F58" s="155"/>
      <c r="G58" s="156" t="s">
        <v>132</v>
      </c>
      <c r="H58" s="157"/>
      <c r="I58" s="49">
        <v>2526.0160260103912</v>
      </c>
      <c r="J58" s="49"/>
      <c r="K58" s="49"/>
      <c r="L58" s="49"/>
      <c r="M58" s="50">
        <f t="shared" ref="M58:M59" si="21">+I58*23.8%</f>
        <v>601.19181419047311</v>
      </c>
      <c r="N58" s="49"/>
      <c r="O58" s="49"/>
      <c r="P58" s="49"/>
      <c r="Q58" s="54">
        <f>SUM(I58:P58)</f>
        <v>3127.2078402008642</v>
      </c>
      <c r="R58" s="97"/>
      <c r="S58" s="1"/>
      <c r="U58" s="1"/>
    </row>
    <row r="59" spans="1:21" ht="14.45" customHeight="1" x14ac:dyDescent="0.25">
      <c r="A59" s="154"/>
      <c r="B59" s="154"/>
      <c r="C59" s="154"/>
      <c r="D59" s="154"/>
      <c r="E59" s="154"/>
      <c r="F59" s="155"/>
      <c r="G59" s="156" t="s">
        <v>136</v>
      </c>
      <c r="H59" s="157"/>
      <c r="I59" s="49">
        <v>13261.38</v>
      </c>
      <c r="J59" s="49"/>
      <c r="K59" s="49"/>
      <c r="L59" s="49"/>
      <c r="M59" s="50">
        <f t="shared" si="21"/>
        <v>3156.2084399999999</v>
      </c>
      <c r="N59" s="50"/>
      <c r="O59" s="49"/>
      <c r="P59" s="49"/>
      <c r="Q59" s="54">
        <f>SUM(I59:P59)</f>
        <v>16417.58844</v>
      </c>
      <c r="R59" s="97"/>
      <c r="S59" s="1"/>
      <c r="U59" s="1"/>
    </row>
    <row r="60" spans="1:21" ht="15.75" customHeight="1" x14ac:dyDescent="0.25">
      <c r="A60" s="154"/>
      <c r="B60" s="154"/>
      <c r="C60" s="154"/>
      <c r="D60" s="154"/>
      <c r="E60" s="154"/>
      <c r="F60" s="155"/>
      <c r="G60" s="158" t="s">
        <v>110</v>
      </c>
      <c r="H60" s="159"/>
      <c r="I60" s="49"/>
      <c r="J60" s="49"/>
      <c r="K60" s="49"/>
      <c r="L60" s="49"/>
      <c r="M60" s="49"/>
      <c r="N60" s="50"/>
      <c r="O60" s="49"/>
      <c r="P60" s="49"/>
      <c r="Q60" s="54">
        <v>23326.42</v>
      </c>
    </row>
    <row r="61" spans="1:21" x14ac:dyDescent="0.25">
      <c r="A61" s="48"/>
      <c r="B61" s="47"/>
      <c r="C61" s="47"/>
      <c r="D61" s="47"/>
      <c r="E61" s="47"/>
      <c r="F61" s="47"/>
      <c r="G61" s="160" t="s">
        <v>109</v>
      </c>
      <c r="H61" s="161"/>
      <c r="I61" s="161"/>
      <c r="J61" s="161"/>
      <c r="K61" s="161"/>
      <c r="L61" s="161"/>
      <c r="M61" s="161"/>
      <c r="N61" s="161"/>
      <c r="O61" s="161"/>
      <c r="P61" s="162"/>
      <c r="Q61" s="55">
        <f>SUM(Q47:Q60)</f>
        <v>280791.77740494366</v>
      </c>
    </row>
    <row r="67" spans="1:10" x14ac:dyDescent="0.25">
      <c r="G67" t="s">
        <v>151</v>
      </c>
    </row>
    <row r="68" spans="1:10" ht="15.75" thickBot="1" x14ac:dyDescent="0.3"/>
    <row r="69" spans="1:10" ht="32.25" thickBot="1" x14ac:dyDescent="0.3">
      <c r="F69" s="125" t="s">
        <v>140</v>
      </c>
      <c r="G69" s="126" t="s">
        <v>141</v>
      </c>
      <c r="H69" s="126" t="s">
        <v>142</v>
      </c>
      <c r="I69" s="126" t="s">
        <v>143</v>
      </c>
      <c r="J69" s="126" t="s">
        <v>144</v>
      </c>
    </row>
    <row r="70" spans="1:10" ht="111" thickBot="1" x14ac:dyDescent="0.3">
      <c r="F70" s="127">
        <v>1</v>
      </c>
      <c r="G70" s="128" t="s">
        <v>145</v>
      </c>
      <c r="H70" s="129"/>
      <c r="I70" s="128">
        <v>2026</v>
      </c>
      <c r="J70" s="130">
        <v>6699.5</v>
      </c>
    </row>
    <row r="71" spans="1:10" ht="126.75" thickBot="1" x14ac:dyDescent="0.3">
      <c r="F71" s="127">
        <v>2</v>
      </c>
      <c r="G71" s="128" t="s">
        <v>146</v>
      </c>
      <c r="H71" s="129" t="s">
        <v>147</v>
      </c>
      <c r="I71" s="128">
        <v>2026</v>
      </c>
      <c r="J71" s="131">
        <v>3437.43</v>
      </c>
    </row>
    <row r="72" spans="1:10" ht="111" thickBot="1" x14ac:dyDescent="0.3">
      <c r="F72" s="127">
        <v>3</v>
      </c>
      <c r="G72" s="128" t="s">
        <v>148</v>
      </c>
      <c r="H72" s="129" t="s">
        <v>149</v>
      </c>
      <c r="I72" s="128">
        <v>2026</v>
      </c>
      <c r="J72" s="131">
        <v>5468.69</v>
      </c>
    </row>
    <row r="73" spans="1:10" ht="16.149999999999999" customHeight="1" thickBot="1" x14ac:dyDescent="0.3">
      <c r="F73" s="133" t="s">
        <v>150</v>
      </c>
      <c r="G73" s="134"/>
      <c r="H73" s="134"/>
      <c r="I73" s="135"/>
      <c r="J73" s="132">
        <f>J70+J71+J72</f>
        <v>15605.619999999999</v>
      </c>
    </row>
    <row r="77" spans="1:10" ht="15.75" thickBot="1" x14ac:dyDescent="0.3"/>
    <row r="78" spans="1:10" x14ac:dyDescent="0.25">
      <c r="A78" s="145" t="s">
        <v>156</v>
      </c>
      <c r="B78" s="146"/>
      <c r="C78" s="146"/>
      <c r="D78" s="147"/>
    </row>
    <row r="79" spans="1:10" ht="75" customHeight="1" x14ac:dyDescent="0.25">
      <c r="A79" s="148"/>
      <c r="B79" s="149"/>
      <c r="C79" s="149"/>
      <c r="D79" s="150"/>
    </row>
    <row r="80" spans="1:10" ht="141.6" customHeight="1" thickBot="1" x14ac:dyDescent="0.3">
      <c r="A80" s="151"/>
      <c r="B80" s="152"/>
      <c r="C80" s="152"/>
      <c r="D80" s="153"/>
    </row>
  </sheetData>
  <mergeCells count="32">
    <mergeCell ref="G40:H40"/>
    <mergeCell ref="G58:H58"/>
    <mergeCell ref="G59:H59"/>
    <mergeCell ref="A1:Q2"/>
    <mergeCell ref="G13:H13"/>
    <mergeCell ref="A14:F21"/>
    <mergeCell ref="G14:H14"/>
    <mergeCell ref="G16:H16"/>
    <mergeCell ref="G19:H19"/>
    <mergeCell ref="G21:H21"/>
    <mergeCell ref="G18:H18"/>
    <mergeCell ref="G20:H20"/>
    <mergeCell ref="G22:P22"/>
    <mergeCell ref="A24:Q25"/>
    <mergeCell ref="G34:H34"/>
    <mergeCell ref="G17:H17"/>
    <mergeCell ref="A78:D80"/>
    <mergeCell ref="A35:F41"/>
    <mergeCell ref="G35:H35"/>
    <mergeCell ref="G37:H37"/>
    <mergeCell ref="G38:H38"/>
    <mergeCell ref="G41:H41"/>
    <mergeCell ref="G39:H39"/>
    <mergeCell ref="G61:P61"/>
    <mergeCell ref="G42:P42"/>
    <mergeCell ref="A44:Q45"/>
    <mergeCell ref="G53:H53"/>
    <mergeCell ref="A54:F60"/>
    <mergeCell ref="G54:H54"/>
    <mergeCell ref="G56:H56"/>
    <mergeCell ref="G57:H57"/>
    <mergeCell ref="G60:H60"/>
  </mergeCells>
  <printOptions horizontalCentered="1"/>
  <pageMargins left="0.11811023622047245" right="0.11811023622047245" top="0.35433070866141736" bottom="0.35433070866141736" header="0.31496062992125984" footer="0.31496062992125984"/>
  <pageSetup paperSize="8" orientation="landscape" verticalDpi="0"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23"/>
  <sheetViews>
    <sheetView zoomScale="90" zoomScaleNormal="90" workbookViewId="0">
      <selection activeCell="J27" sqref="J27"/>
    </sheetView>
  </sheetViews>
  <sheetFormatPr defaultColWidth="8.85546875" defaultRowHeight="15" x14ac:dyDescent="0.25"/>
  <cols>
    <col min="1" max="1" width="35.7109375" customWidth="1"/>
    <col min="2" max="2" width="38.140625" customWidth="1"/>
    <col min="3" max="3" width="18.85546875" customWidth="1"/>
    <col min="4" max="4" width="11.140625" customWidth="1"/>
    <col min="5" max="5" width="7.140625" customWidth="1"/>
    <col min="6" max="6" width="17.140625" customWidth="1"/>
    <col min="7" max="7" width="20.140625" customWidth="1"/>
  </cols>
  <sheetData>
    <row r="1" spans="1:7" x14ac:dyDescent="0.25">
      <c r="A1" s="33"/>
      <c r="B1" s="33"/>
      <c r="C1" s="33"/>
      <c r="D1" s="33"/>
      <c r="E1" s="33"/>
      <c r="F1" s="33"/>
    </row>
    <row r="2" spans="1:7" s="40" customFormat="1" ht="22.5" x14ac:dyDescent="0.25">
      <c r="A2" s="39" t="s">
        <v>79</v>
      </c>
      <c r="B2" s="39" t="s">
        <v>84</v>
      </c>
      <c r="C2" s="39" t="s">
        <v>88</v>
      </c>
      <c r="D2" s="39" t="s">
        <v>81</v>
      </c>
      <c r="E2" s="39" t="s">
        <v>44</v>
      </c>
      <c r="F2" s="35" t="s">
        <v>66</v>
      </c>
      <c r="G2" s="35" t="s">
        <v>103</v>
      </c>
    </row>
    <row r="3" spans="1:7" s="45" customFormat="1" x14ac:dyDescent="0.25">
      <c r="A3" s="43" t="s">
        <v>94</v>
      </c>
      <c r="B3" s="43" t="s">
        <v>85</v>
      </c>
      <c r="C3" s="44" t="s">
        <v>89</v>
      </c>
      <c r="D3" s="44" t="s">
        <v>65</v>
      </c>
      <c r="E3" s="44">
        <v>18</v>
      </c>
      <c r="F3" s="37" t="s">
        <v>55</v>
      </c>
      <c r="G3" s="37">
        <v>2022</v>
      </c>
    </row>
    <row r="4" spans="1:7" s="45" customFormat="1" x14ac:dyDescent="0.25">
      <c r="A4" s="43" t="s">
        <v>86</v>
      </c>
      <c r="B4" s="43" t="s">
        <v>85</v>
      </c>
      <c r="C4" s="44" t="s">
        <v>89</v>
      </c>
      <c r="D4" s="44" t="s">
        <v>65</v>
      </c>
      <c r="E4" s="44">
        <v>36</v>
      </c>
      <c r="F4" s="37" t="s">
        <v>55</v>
      </c>
      <c r="G4" s="37">
        <v>2022</v>
      </c>
    </row>
    <row r="5" spans="1:7" s="45" customFormat="1" x14ac:dyDescent="0.25">
      <c r="A5" s="43" t="s">
        <v>94</v>
      </c>
      <c r="B5" s="43" t="s">
        <v>100</v>
      </c>
      <c r="C5" s="44" t="s">
        <v>90</v>
      </c>
      <c r="D5" s="44" t="s">
        <v>65</v>
      </c>
      <c r="E5" s="44">
        <v>18</v>
      </c>
      <c r="F5" s="37" t="s">
        <v>55</v>
      </c>
      <c r="G5" s="37"/>
    </row>
    <row r="6" spans="1:7" s="45" customFormat="1" x14ac:dyDescent="0.25">
      <c r="A6" s="43" t="s">
        <v>101</v>
      </c>
      <c r="B6" s="43" t="s">
        <v>102</v>
      </c>
      <c r="C6" s="44" t="s">
        <v>89</v>
      </c>
      <c r="D6" s="44" t="s">
        <v>65</v>
      </c>
      <c r="E6" s="44">
        <v>36</v>
      </c>
      <c r="F6" s="37" t="s">
        <v>55</v>
      </c>
      <c r="G6" s="37">
        <v>2022</v>
      </c>
    </row>
    <row r="7" spans="1:7" ht="8.1" customHeight="1" x14ac:dyDescent="0.25"/>
    <row r="8" spans="1:7" ht="6.95" customHeight="1" x14ac:dyDescent="0.25">
      <c r="C8" s="41"/>
    </row>
    <row r="9" spans="1:7" s="40" customFormat="1" ht="22.5" x14ac:dyDescent="0.25">
      <c r="A9" s="39" t="s">
        <v>79</v>
      </c>
      <c r="B9" s="39" t="s">
        <v>84</v>
      </c>
      <c r="C9" s="39" t="s">
        <v>88</v>
      </c>
      <c r="D9" s="39" t="s">
        <v>81</v>
      </c>
      <c r="E9" s="39" t="s">
        <v>44</v>
      </c>
      <c r="F9" s="35" t="s">
        <v>66</v>
      </c>
      <c r="G9" s="35" t="str">
        <f>+G2</f>
        <v>ASSUNZIONE</v>
      </c>
    </row>
    <row r="10" spans="1:7" x14ac:dyDescent="0.25">
      <c r="A10" s="34" t="s">
        <v>56</v>
      </c>
      <c r="B10" s="34" t="s">
        <v>87</v>
      </c>
      <c r="C10" s="44" t="s">
        <v>91</v>
      </c>
      <c r="D10" s="38" t="s">
        <v>65</v>
      </c>
      <c r="E10" s="38">
        <v>12</v>
      </c>
      <c r="F10" s="37" t="s">
        <v>55</v>
      </c>
      <c r="G10" s="37">
        <v>2022</v>
      </c>
    </row>
    <row r="11" spans="1:7" x14ac:dyDescent="0.25">
      <c r="A11" s="34" t="s">
        <v>86</v>
      </c>
      <c r="B11" s="34" t="s">
        <v>87</v>
      </c>
      <c r="C11" s="44" t="s">
        <v>92</v>
      </c>
      <c r="D11" s="38" t="s">
        <v>65</v>
      </c>
      <c r="E11" s="38">
        <v>12</v>
      </c>
      <c r="F11" s="37" t="s">
        <v>93</v>
      </c>
      <c r="G11" s="37">
        <v>2022</v>
      </c>
    </row>
    <row r="12" spans="1:7" x14ac:dyDescent="0.25">
      <c r="A12" s="34" t="s">
        <v>95</v>
      </c>
      <c r="B12" s="34" t="s">
        <v>87</v>
      </c>
      <c r="C12" s="44" t="s">
        <v>96</v>
      </c>
      <c r="D12" s="38" t="s">
        <v>76</v>
      </c>
      <c r="E12" s="38">
        <v>4</v>
      </c>
      <c r="F12" s="37" t="s">
        <v>97</v>
      </c>
      <c r="G12" s="37">
        <v>2022</v>
      </c>
    </row>
    <row r="13" spans="1:7" x14ac:dyDescent="0.25">
      <c r="A13" s="34" t="s">
        <v>95</v>
      </c>
      <c r="B13" s="34" t="s">
        <v>87</v>
      </c>
      <c r="C13" s="44" t="s">
        <v>96</v>
      </c>
      <c r="D13" s="38" t="s">
        <v>76</v>
      </c>
      <c r="E13" s="44">
        <v>8</v>
      </c>
      <c r="F13" s="37" t="s">
        <v>98</v>
      </c>
      <c r="G13" s="37">
        <v>2022</v>
      </c>
    </row>
    <row r="14" spans="1:7" x14ac:dyDescent="0.25">
      <c r="A14" s="36" t="s">
        <v>99</v>
      </c>
      <c r="B14" s="36" t="s">
        <v>87</v>
      </c>
      <c r="C14" s="44" t="s">
        <v>96</v>
      </c>
      <c r="D14" s="38" t="s">
        <v>76</v>
      </c>
      <c r="E14" s="44">
        <v>8</v>
      </c>
      <c r="F14" s="37" t="s">
        <v>52</v>
      </c>
      <c r="G14" s="37">
        <v>2022</v>
      </c>
    </row>
    <row r="15" spans="1:7" x14ac:dyDescent="0.25">
      <c r="C15" s="42"/>
    </row>
    <row r="16" spans="1:7" x14ac:dyDescent="0.25">
      <c r="C16" s="42"/>
    </row>
    <row r="17" spans="3:3" x14ac:dyDescent="0.25">
      <c r="C17" s="42"/>
    </row>
    <row r="18" spans="3:3" x14ac:dyDescent="0.25">
      <c r="C18" s="42"/>
    </row>
    <row r="19" spans="3:3" x14ac:dyDescent="0.25">
      <c r="C19" s="42"/>
    </row>
    <row r="21" spans="3:3" x14ac:dyDescent="0.25">
      <c r="C21" s="41"/>
    </row>
    <row r="23" spans="3:3" x14ac:dyDescent="0.25">
      <c r="C23" s="42"/>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25287CB22DC374428F89A3C00AF9E032" ma:contentTypeVersion="13" ma:contentTypeDescription="Creare un nuovo documento." ma:contentTypeScope="" ma:versionID="7b147a3d35a4ca84fa3ceccd502e8c9b">
  <xsd:schema xmlns:xsd="http://www.w3.org/2001/XMLSchema" xmlns:xs="http://www.w3.org/2001/XMLSchema" xmlns:p="http://schemas.microsoft.com/office/2006/metadata/properties" xmlns:ns2="90a338f7-9150-47fc-97f4-50ee709590e3" xmlns:ns3="ec0fd57a-81d4-4dad-80e1-a95a2bfa4232" targetNamespace="http://schemas.microsoft.com/office/2006/metadata/properties" ma:root="true" ma:fieldsID="6328e098237860cabfaae2db4e4f1cb0" ns2:_="" ns3:_="">
    <xsd:import namespace="90a338f7-9150-47fc-97f4-50ee709590e3"/>
    <xsd:import namespace="ec0fd57a-81d4-4dad-80e1-a95a2bfa4232"/>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3:SharedWithUsers" minOccurs="0"/>
                <xsd:element ref="ns3:SharedWithDetails" minOccurs="0"/>
                <xsd:element ref="ns2:MediaServiceLocation" minOccurs="0"/>
                <xsd:element ref="ns2:MediaServiceGenerationTime" minOccurs="0"/>
                <xsd:element ref="ns2:MediaServiceEventHashCode" minOccurs="0"/>
                <xsd:element ref="ns2:MediaServiceAutoKeyPoints" minOccurs="0"/>
                <xsd:element ref="ns2:MediaServiceKeyPoint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0a338f7-9150-47fc-97f4-50ee709590e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OCR" ma:index="11" nillable="true" ma:displayName="MediaServiceOCR"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c0fd57a-81d4-4dad-80e1-a95a2bfa4232" elementFormDefault="qualified">
    <xsd:import namespace="http://schemas.microsoft.com/office/2006/documentManagement/types"/>
    <xsd:import namespace="http://schemas.microsoft.com/office/infopath/2007/PartnerControls"/>
    <xsd:element name="SharedWithUsers" ma:index="13"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AD36E83-C8BA-4301-AD1F-BF27ABB1675D}">
  <ds:schemaRefs>
    <ds:schemaRef ds:uri="http://purl.org/dc/elements/1.1/"/>
    <ds:schemaRef ds:uri="http://schemas.microsoft.com/office/2006/documentManagement/types"/>
    <ds:schemaRef ds:uri="http://schemas.microsoft.com/office/2006/metadata/properties"/>
    <ds:schemaRef ds:uri="http://schemas.openxmlformats.org/package/2006/metadata/core-properties"/>
    <ds:schemaRef ds:uri="http://purl.org/dc/dcmitype/"/>
    <ds:schemaRef ds:uri="90a338f7-9150-47fc-97f4-50ee709590e3"/>
    <ds:schemaRef ds:uri="http://www.w3.org/XML/1998/namespace"/>
    <ds:schemaRef ds:uri="http://schemas.microsoft.com/office/infopath/2007/PartnerControls"/>
    <ds:schemaRef ds:uri="ec0fd57a-81d4-4dad-80e1-a95a2bfa4232"/>
    <ds:schemaRef ds:uri="http://purl.org/dc/terms/"/>
  </ds:schemaRefs>
</ds:datastoreItem>
</file>

<file path=customXml/itemProps2.xml><?xml version="1.0" encoding="utf-8"?>
<ds:datastoreItem xmlns:ds="http://schemas.openxmlformats.org/officeDocument/2006/customXml" ds:itemID="{6BD13FFD-2940-4A74-9896-CE0C01D810D4}">
  <ds:schemaRefs>
    <ds:schemaRef ds:uri="http://schemas.microsoft.com/sharepoint/v3/contenttype/forms"/>
  </ds:schemaRefs>
</ds:datastoreItem>
</file>

<file path=customXml/itemProps3.xml><?xml version="1.0" encoding="utf-8"?>
<ds:datastoreItem xmlns:ds="http://schemas.openxmlformats.org/officeDocument/2006/customXml" ds:itemID="{FB9AC88D-48ED-41EF-8512-D09ABCEEE28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0a338f7-9150-47fc-97f4-50ee709590e3"/>
    <ds:schemaRef ds:uri="ec0fd57a-81d4-4dad-80e1-a95a2bfa423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5</vt:i4>
      </vt:variant>
    </vt:vector>
  </HeadingPairs>
  <TitlesOfParts>
    <vt:vector size="5" baseType="lpstr">
      <vt:lpstr>2021 stima</vt:lpstr>
      <vt:lpstr>Mogorella 2021</vt:lpstr>
      <vt:lpstr>Mogorella 2020</vt:lpstr>
      <vt:lpstr>Versione 13.2.2026</vt:lpstr>
      <vt:lpstr>All. C</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scintu</dc:creator>
  <cp:lastModifiedBy>Amministrativo01</cp:lastModifiedBy>
  <cp:lastPrinted>2025-03-05T10:43:28Z</cp:lastPrinted>
  <dcterms:created xsi:type="dcterms:W3CDTF">2020-05-25T08:33:29Z</dcterms:created>
  <dcterms:modified xsi:type="dcterms:W3CDTF">2026-05-25T12:25:40Z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0x01010025287CB22DC374428F89A3C00AF9E032</vt:lpwstr>
  </property>
</Properties>
</file>